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5" yWindow="15" windowWidth="11580" windowHeight="8565" tabRatio="828" activeTab="1"/>
  </bookViews>
  <sheets>
    <sheet name="Info" sheetId="1" r:id="rId1"/>
    <sheet name="Parameter" sheetId="2" r:id="rId2"/>
    <sheet name="Berechnung" sheetId="3" r:id="rId3"/>
    <sheet name="Ergebnis (Einsparungen)" sheetId="4" r:id="rId4"/>
    <sheet name="Kapitalwert (Einsp.)" sheetId="5" r:id="rId5"/>
    <sheet name="Ergebnis (Umlage)" sheetId="6" r:id="rId6"/>
    <sheet name="Kapitalwert (Umlage)" sheetId="7" r:id="rId7"/>
  </sheets>
  <definedNames>
    <definedName name="Bereitstellung">'Parameter'!$B$30</definedName>
    <definedName name="Dämmstärke">'Parameter'!$B$14</definedName>
    <definedName name="Darlehen">'Parameter'!$B$28</definedName>
    <definedName name="Diskontsatz">'Parameter'!$B$23</definedName>
    <definedName name="Emissionsfaktor">'Parameter'!$B$18</definedName>
    <definedName name="Energieeinsparung">'Parameter'!$B$38</definedName>
    <definedName name="Energiekosten">'Parameter'!$B$20</definedName>
    <definedName name="Energiekostensteigerung">'Parameter'!$B$21</definedName>
    <definedName name="Gradtagszahl">'Parameter'!$B$15</definedName>
    <definedName name="Gradtagszahl_nach">'Parameter'!$B$16</definedName>
    <definedName name="Gradtagszahl_vor">'Parameter'!$B$15</definedName>
    <definedName name="Inflation">'Parameter'!$B$22</definedName>
    <definedName name="Instandhaltung">'Parameter'!$B$11</definedName>
    <definedName name="Kosten">'Parameter'!$B$10</definedName>
    <definedName name="Lambdawert">'Parameter'!$B$13</definedName>
    <definedName name="Laufzeit">'Parameter'!$B$33</definedName>
    <definedName name="Prozent_Umlage">'Parameter'!$B$19</definedName>
    <definedName name="Steuersatz">'Parameter'!$B$24</definedName>
    <definedName name="Tilgungsfrei">'Parameter'!$B$34</definedName>
    <definedName name="UWert_alt">'Parameter'!$B$12</definedName>
    <definedName name="UWert_Mauer">'Parameter'!$B$12</definedName>
    <definedName name="UWert_nach">'Parameter'!$G$14</definedName>
    <definedName name="UWert_vor">'Parameter'!$B$12</definedName>
    <definedName name="Wirkungsgrad">'Parameter'!$B$17</definedName>
    <definedName name="Z_36051EDE_EE05_46A8_9481_5CD2E0A132E3_.wvu.Cols" localSheetId="1" hidden="1">'Parameter'!$I:$I</definedName>
    <definedName name="Zeitraum">'Parameter'!$B$25</definedName>
    <definedName name="Zinsbindung">'Parameter'!$B$31</definedName>
    <definedName name="Zinssatz">'Parameter'!$B$29</definedName>
    <definedName name="Zinssatz_nach_Zinsbindung">'Parameter'!$B$32</definedName>
  </definedNames>
  <calcPr fullCalcOnLoad="1"/>
</workbook>
</file>

<file path=xl/comments2.xml><?xml version="1.0" encoding="utf-8"?>
<comments xmlns="http://schemas.openxmlformats.org/spreadsheetml/2006/main">
  <authors>
    <author>Alfred K?rblein</author>
    <author>Windows User</author>
  </authors>
  <commentList>
    <comment ref="B14" authorId="0">
      <text>
        <r>
          <rPr>
            <b/>
            <sz val="9"/>
            <rFont val="Tahoma"/>
            <family val="2"/>
          </rPr>
          <t>KfW-Mindestanforderung an den U-Wert nach Sanierung: 0,2 W/m²K</t>
        </r>
      </text>
    </comment>
    <comment ref="B37" authorId="1">
      <text>
        <r>
          <rPr>
            <b/>
            <sz val="9"/>
            <rFont val="Tahoma"/>
            <family val="2"/>
          </rPr>
          <t>LCOE=
levelized cost of energy.
Kosten der Einsparung einer kWh Heizenergie</t>
        </r>
        <r>
          <rPr>
            <sz val="9"/>
            <rFont val="Tahoma"/>
            <family val="2"/>
          </rPr>
          <t xml:space="preserve">
</t>
        </r>
      </text>
    </comment>
    <comment ref="B48" authorId="1">
      <text>
        <r>
          <rPr>
            <b/>
            <sz val="9"/>
            <rFont val="Tahoma"/>
            <family val="2"/>
          </rPr>
          <t>ein positiver Wert bedeutet Erhöhung der Warmmiete</t>
        </r>
        <r>
          <rPr>
            <sz val="9"/>
            <rFont val="Tahoma"/>
            <family val="2"/>
          </rPr>
          <t xml:space="preserve">
</t>
        </r>
      </text>
    </comment>
    <comment ref="B19" authorId="1">
      <text>
        <r>
          <rPr>
            <b/>
            <sz val="9"/>
            <rFont val="Tahoma"/>
            <family val="2"/>
          </rPr>
          <t>Unlagefähig sind nur die Zusatzkosten für Wärmedämmung</t>
        </r>
        <r>
          <rPr>
            <sz val="9"/>
            <rFont val="Tahoma"/>
            <family val="2"/>
          </rPr>
          <t xml:space="preserve">
</t>
        </r>
      </text>
    </comment>
  </commentList>
</comments>
</file>

<file path=xl/sharedStrings.xml><?xml version="1.0" encoding="utf-8"?>
<sst xmlns="http://schemas.openxmlformats.org/spreadsheetml/2006/main" count="127" uniqueCount="102">
  <si>
    <t>p.a.</t>
  </si>
  <si>
    <t>Jahr</t>
  </si>
  <si>
    <t>Zinsen</t>
  </si>
  <si>
    <t xml:space="preserve">Ergebnis </t>
  </si>
  <si>
    <t>Die Veränderung dieser Dateien und die Weiterverbreitung veränderter Kopien ist ausdrücklich untersagt.</t>
  </si>
  <si>
    <t xml:space="preserve">Barwert </t>
  </si>
  <si>
    <t>Restschuld</t>
  </si>
  <si>
    <t>Tilgung</t>
  </si>
  <si>
    <t>Jahre</t>
  </si>
  <si>
    <t>Kapitalwert</t>
  </si>
  <si>
    <t>Links auf www.umweltinstitut.org:</t>
  </si>
  <si>
    <t>Finanzierung</t>
  </si>
  <si>
    <t>Eingaben</t>
  </si>
  <si>
    <t>Kd</t>
  </si>
  <si>
    <t>Wirkungsgrad Heizung</t>
  </si>
  <si>
    <t>CO2-Emissionsfaktor</t>
  </si>
  <si>
    <t>Diskontsatz</t>
  </si>
  <si>
    <t>Abzinsfaktor zur Ermittlung des Barwerts</t>
  </si>
  <si>
    <t>Ergebnisse</t>
  </si>
  <si>
    <t>Energieeinsparung</t>
  </si>
  <si>
    <t>CO2-Reduktion</t>
  </si>
  <si>
    <t>Dr. Alfred Körblein, Umweltinstitut München e.V.</t>
  </si>
  <si>
    <t>Einsparungen</t>
  </si>
  <si>
    <t>Die Exceltabelle wurde sorgfältig getestet. Dennoch kann für die Richtigkeit und die korrekte Funktion keine Gewähr übernommen werden.</t>
  </si>
  <si>
    <t>Anmerkungen</t>
  </si>
  <si>
    <t>Die Zellen sind gegen versehentliches Überschreiben geschützt.</t>
  </si>
  <si>
    <t>ct pro l Heizöl oder cbm Erdgas</t>
  </si>
  <si>
    <t>Zum Textbeitrag "Wirtschaftlichkeit von Wärmedämmmaßnahmen"</t>
  </si>
  <si>
    <t>Zinsbindung</t>
  </si>
  <si>
    <t>Zinssatz nach Zinsbindung</t>
  </si>
  <si>
    <t>Amortisationszeit</t>
  </si>
  <si>
    <t>z.B. 0,315 für Heizöl und 0,225 für Erdgas</t>
  </si>
  <si>
    <t>Zeitraum für Beurteilung der Wirtschaftlichkeit</t>
  </si>
  <si>
    <t>ct/kWh</t>
  </si>
  <si>
    <t>Inflationsrate</t>
  </si>
  <si>
    <t>Tilgungsfreie Zeit</t>
  </si>
  <si>
    <t>Interner Zinssatz</t>
  </si>
  <si>
    <t>Spezifische Kosten</t>
  </si>
  <si>
    <t>Zeitraum (20/25/30 Jahre)</t>
  </si>
  <si>
    <t>Die Excel-Tabelle daemmung.xls gestattet die Berechnung der Wirtschaftlichkeit von Wärmedämmmaßnahmen mithilfe der Barwertmethode. Sie liefert den Kapitalwert einer Investition, also die Summe der Barwerte der jährlichen Einsparungen, über einen Betrachtungszeitraum von wahlweise 20, 25 oder 30 Jahren. Die Maßnahme ist dann wirtschaftlich, wenn der Kapitalwert größer ist als Null.</t>
  </si>
  <si>
    <t>Falls Sie Fehler entdecken, Verbesserungsvorschläge oder Fragen haben, wenden Sie sich bitte an Dr. Alfred Körblein  ak@umweltinstitut.org  oder  alfred.koerblein@gmx.de</t>
  </si>
  <si>
    <t>Copyright  Dr. Alfred Körblein</t>
  </si>
  <si>
    <t>(nach WSchVO 1995)</t>
  </si>
  <si>
    <t>kg CO2/kWh</t>
  </si>
  <si>
    <t>cm</t>
  </si>
  <si>
    <t>Dämmstärke</t>
  </si>
  <si>
    <t>U-Wert vor Dämmung</t>
  </si>
  <si>
    <t>U-Wert nach Dämmung:</t>
  </si>
  <si>
    <t>Umlage</t>
  </si>
  <si>
    <t>davon Instandhaltung</t>
  </si>
  <si>
    <t>Instandhaltungskosten sind nicht umlegbar!</t>
  </si>
  <si>
    <t xml:space="preserve">Der Blattschutz kann aufgehoben werden mit: </t>
  </si>
  <si>
    <t>/Extras/Schutz/Blattschutz entfernen.</t>
  </si>
  <si>
    <t>Steuervorteil</t>
  </si>
  <si>
    <t>Einkommensteuersatz</t>
  </si>
  <si>
    <t>€/m²</t>
  </si>
  <si>
    <t>W/m²K</t>
  </si>
  <si>
    <t>Angebot einholen (Spanne: 80-150 €/m²)</t>
  </si>
  <si>
    <t>ungedämmte Vollziegelwand ca. 1,2 W/m²K</t>
  </si>
  <si>
    <t>AfA</t>
  </si>
  <si>
    <t>Bereitstellung</t>
  </si>
  <si>
    <t>entspricht</t>
  </si>
  <si>
    <t>www.kfw.de/152</t>
  </si>
  <si>
    <t>Lambdawert Dämmung</t>
  </si>
  <si>
    <t>W/mK</t>
  </si>
  <si>
    <t>Zinssatz</t>
  </si>
  <si>
    <t>aus Sicht des Mieters</t>
  </si>
  <si>
    <t>aus Sicht des Vermieters</t>
  </si>
  <si>
    <t>aus Sicht des Eigentümers</t>
  </si>
  <si>
    <t xml:space="preserve">mit gesetzlich zulässiger Umlage </t>
  </si>
  <si>
    <t>Null, wenn keine Abschreibung (AfA) möglich</t>
  </si>
  <si>
    <t>KfW-Darlehen</t>
  </si>
  <si>
    <t>Umlage der Kosten auf Miete</t>
  </si>
  <si>
    <t>mit gesetzlich zulässiger Umlage</t>
  </si>
  <si>
    <t>bzw. warmmietenneutrale Umlage</t>
  </si>
  <si>
    <t>Wirtschaftlichkeit aus Sicht des Eigentümers:</t>
  </si>
  <si>
    <t>selbstgenutzt</t>
  </si>
  <si>
    <t>Weiterhin stehen zinsvergünstigte Darlehen der Kreditanstalt für Wiederaufbau (KfW) zur Verfügung. Voraussetzung ist, dass der U-Wert nach Sanierung 0,2 W/m²K erreicht oder unterschreitet. Die Darlehen haben Laufzeiten von 10, 20 oder 30 Jahren bei 2, 3 und 5 tilgungsfreien Jahren. Die Zinsbindung beträgt 5 bzw. 10 Jahre. Die Konditionen können von der hompage der KfW heruntergeladen werden: www.kfW.de/152.</t>
  </si>
  <si>
    <t>LCOE</t>
  </si>
  <si>
    <t>Energie</t>
  </si>
  <si>
    <t>Summe</t>
  </si>
  <si>
    <t>Die jährlichen Erträge berechnen sich aus der Differenz von Einnahmen und Ausgaben. Die Einnahmen sind die eingesparten Energiekosten, die Ausgaben der Kapitaldienst (bei Fremdfinanzierung z.B. durch ein KfW Darlehen). Bei Vermietung ist eine Umlage der Kosten auf die Miete zulässig in Höhe von 11% der Zusatzkosten für die Wärmedämmung. Sie führt zu einer überprortionalen Belastung der Mieter zugunsten der Vermieter und sollte auf ca. 8% oder 9% gesenkt werden.</t>
  </si>
  <si>
    <t>Laufzeit (10/20 Jahre)</t>
  </si>
  <si>
    <t>Wirtschaftlichkeit:  Wärmedämmung der Außenwand</t>
  </si>
  <si>
    <t>bei Vermietung</t>
  </si>
  <si>
    <t>im ersten Jahr:</t>
  </si>
  <si>
    <t>nach 10 Jahren:</t>
  </si>
  <si>
    <t>€/qm</t>
  </si>
  <si>
    <t>kWh/(qm*a)</t>
  </si>
  <si>
    <t>kg CO2/(qm*a)</t>
  </si>
  <si>
    <t>€/a pro qm Wandfläche</t>
  </si>
  <si>
    <t>€/a pro qm Wandfläche, inflationsbereinigt</t>
  </si>
  <si>
    <t>aus Mietersicht: Auswirkung auf die Warmmiete</t>
  </si>
  <si>
    <t>max. 11% pro Jahr</t>
  </si>
  <si>
    <t>aktueller Zinsatz siehe:</t>
  </si>
  <si>
    <t>Energiepreis</t>
  </si>
  <si>
    <t>Darlehen</t>
  </si>
  <si>
    <t>Energiekostensteigerung</t>
  </si>
  <si>
    <t>Gradtagszahl vor Dämmung</t>
  </si>
  <si>
    <t>Gradtagszahl nach Dämmung</t>
  </si>
  <si>
    <t>(nach EnEV, vereinfacht)</t>
  </si>
  <si>
    <t>02.05.2017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</si>
</sst>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
    <numFmt numFmtId="174" formatCode="0.000"/>
    <numFmt numFmtId="175" formatCode="#,##0.0\ &quot;DM&quot;;[Red]\-#,##0.0\ &quot;DM&quot;"/>
    <numFmt numFmtId="176" formatCode="0.00000"/>
    <numFmt numFmtId="177" formatCode="0.0%"/>
    <numFmt numFmtId="178" formatCode="_-* #,##0.000\ _D_M_-;\-* #,##0.000\ _D_M_-;_-* &quot;-&quot;??\ _D_M_-;_-@_-"/>
    <numFmt numFmtId="179" formatCode="_-* #,##0.0000\ _D_M_-;\-* #,##0.0000\ _D_M_-;_-* &quot;-&quot;??\ _D_M_-;_-@_-"/>
    <numFmt numFmtId="180" formatCode="_-* #,##0.00000\ _D_M_-;\-* #,##0.00000\ _D_M_-;_-* &quot;-&quot;??\ _D_M_-;_-@_-"/>
    <numFmt numFmtId="181" formatCode="_-* #,##0.0\ _D_M_-;\-* #,##0.0\ _D_M_-;_-* &quot;-&quot;??\ _D_M_-;_-@_-"/>
    <numFmt numFmtId="182" formatCode="_-* #,##0\ _D_M_-;\-* #,##0\ _D_M_-;_-* &quot;-&quot;??\ _D_M_-;_-@_-"/>
    <numFmt numFmtId="183" formatCode="#,##0.0"/>
    <numFmt numFmtId="184" formatCode="#,##0.00\ &quot;DM&quot;"/>
    <numFmt numFmtId="185" formatCode="#,##0.000"/>
    <numFmt numFmtId="186" formatCode="#,##0.0000"/>
    <numFmt numFmtId="187" formatCode="&quot;Ja&quot;;&quot;Ja&quot;;&quot;Nein&quot;"/>
    <numFmt numFmtId="188" formatCode="&quot;Wahr&quot;;&quot;Wahr&quot;;&quot;Falsch&quot;"/>
    <numFmt numFmtId="189" formatCode="&quot;Ein&quot;;&quot;Ein&quot;;&quot;Aus&quot;"/>
  </numFmts>
  <fonts count="65">
    <font>
      <sz val="10"/>
      <name val="Arial"/>
      <family val="0"/>
    </font>
    <font>
      <b/>
      <sz val="10"/>
      <name val="Arial"/>
      <family val="0"/>
    </font>
    <font>
      <i/>
      <sz val="10"/>
      <name val="Arial"/>
      <family val="0"/>
    </font>
    <font>
      <b/>
      <i/>
      <sz val="10"/>
      <name val="Arial"/>
      <family val="0"/>
    </font>
    <font>
      <b/>
      <sz val="12"/>
      <color indexed="8"/>
      <name val="Arial"/>
      <family val="2"/>
    </font>
    <font>
      <sz val="10"/>
      <color indexed="8"/>
      <name val="Arial"/>
      <family val="2"/>
    </font>
    <font>
      <b/>
      <sz val="10"/>
      <color indexed="8"/>
      <name val="Arial"/>
      <family val="2"/>
    </font>
    <font>
      <u val="single"/>
      <sz val="10"/>
      <color indexed="12"/>
      <name val="Arial"/>
      <family val="2"/>
    </font>
    <font>
      <u val="single"/>
      <sz val="8"/>
      <color indexed="36"/>
      <name val="Arial"/>
      <family val="2"/>
    </font>
    <font>
      <b/>
      <sz val="12"/>
      <name val="Arial"/>
      <family val="2"/>
    </font>
    <font>
      <sz val="10"/>
      <color indexed="10"/>
      <name val="Arial"/>
      <family val="2"/>
    </font>
    <font>
      <b/>
      <sz val="11"/>
      <name val="Calibri"/>
      <family val="2"/>
    </font>
    <font>
      <b/>
      <sz val="11"/>
      <color indexed="8"/>
      <name val="Calibri"/>
      <family val="2"/>
    </font>
    <font>
      <sz val="11"/>
      <name val="Calibri"/>
      <family val="2"/>
    </font>
    <font>
      <sz val="11"/>
      <color indexed="8"/>
      <name val="Calibri"/>
      <family val="2"/>
    </font>
    <font>
      <u val="single"/>
      <sz val="11"/>
      <color indexed="12"/>
      <name val="Calibri"/>
      <family val="2"/>
    </font>
    <font>
      <b/>
      <sz val="14"/>
      <name val="Calibri"/>
      <family val="2"/>
    </font>
    <font>
      <b/>
      <sz val="14"/>
      <color indexed="8"/>
      <name val="Calibri"/>
      <family val="2"/>
    </font>
    <font>
      <sz val="12"/>
      <color indexed="18"/>
      <name val="Arial"/>
      <family val="2"/>
    </font>
    <font>
      <sz val="10"/>
      <color indexed="18"/>
      <name val="Arial"/>
      <family val="2"/>
    </font>
    <font>
      <sz val="10"/>
      <color indexed="12"/>
      <name val="Arial"/>
      <family val="2"/>
    </font>
    <font>
      <b/>
      <sz val="10"/>
      <color indexed="12"/>
      <name val="Arial"/>
      <family val="2"/>
    </font>
    <font>
      <b/>
      <sz val="10"/>
      <color indexed="23"/>
      <name val="Arial"/>
      <family val="2"/>
    </font>
    <font>
      <sz val="10"/>
      <color indexed="23"/>
      <name val="Arial"/>
      <family val="2"/>
    </font>
    <font>
      <b/>
      <sz val="10"/>
      <color indexed="18"/>
      <name val="Arial"/>
      <family val="2"/>
    </font>
    <font>
      <b/>
      <sz val="10"/>
      <color indexed="10"/>
      <name val="Arial"/>
      <family val="2"/>
    </font>
    <font>
      <b/>
      <sz val="9"/>
      <name val="Tahoma"/>
      <family val="2"/>
    </font>
    <font>
      <sz val="12"/>
      <color indexed="8"/>
      <name val="Arial"/>
      <family val="2"/>
    </font>
    <font>
      <sz val="9"/>
      <name val="Tahoma"/>
      <family val="2"/>
    </font>
    <font>
      <sz val="8"/>
      <color indexed="8"/>
      <name val="Arial"/>
      <family val="0"/>
    </font>
    <font>
      <sz val="11"/>
      <color indexed="9"/>
      <name val="Calibri"/>
      <family val="2"/>
    </font>
    <font>
      <b/>
      <sz val="11"/>
      <color indexed="63"/>
      <name val="Calibri"/>
      <family val="2"/>
    </font>
    <font>
      <b/>
      <sz val="11"/>
      <color indexed="10"/>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56"/>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4"/>
      <name val="Arial"/>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8" fillId="0" borderId="0" applyNumberForma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28">
    <xf numFmtId="0" fontId="0" fillId="0" borderId="0" xfId="0" applyAlignment="1">
      <alignment/>
    </xf>
    <xf numFmtId="4" fontId="4" fillId="0" borderId="0" xfId="0" applyNumberFormat="1" applyFont="1" applyFill="1" applyAlignment="1">
      <alignment horizontal="right"/>
    </xf>
    <xf numFmtId="4" fontId="5" fillId="0" borderId="0" xfId="0" applyNumberFormat="1" applyFont="1" applyFill="1" applyAlignment="1">
      <alignment horizontal="right"/>
    </xf>
    <xf numFmtId="3" fontId="4" fillId="0" borderId="0" xfId="0" applyNumberFormat="1" applyFont="1" applyFill="1" applyAlignment="1">
      <alignment horizontal="right"/>
    </xf>
    <xf numFmtId="3" fontId="5" fillId="0" borderId="0" xfId="0" applyNumberFormat="1" applyFont="1" applyFill="1" applyAlignment="1">
      <alignment horizontal="right"/>
    </xf>
    <xf numFmtId="0" fontId="9" fillId="0" borderId="0" xfId="0" applyFont="1" applyFill="1" applyAlignment="1">
      <alignment horizontal="left"/>
    </xf>
    <xf numFmtId="0" fontId="1" fillId="0" borderId="0" xfId="0" applyFont="1" applyFill="1" applyAlignment="1">
      <alignment horizontal="left"/>
    </xf>
    <xf numFmtId="0" fontId="9" fillId="0" borderId="0" xfId="0" applyFont="1" applyFill="1" applyAlignment="1">
      <alignment horizontal="right"/>
    </xf>
    <xf numFmtId="0" fontId="0" fillId="0" borderId="0" xfId="0" applyFont="1" applyFill="1" applyAlignment="1">
      <alignment horizontal="right"/>
    </xf>
    <xf numFmtId="4" fontId="6" fillId="0" borderId="0" xfId="0" applyNumberFormat="1" applyFont="1" applyAlignment="1">
      <alignment horizontal="right"/>
    </xf>
    <xf numFmtId="4" fontId="5" fillId="0" borderId="0" xfId="0" applyNumberFormat="1" applyFont="1" applyAlignment="1">
      <alignment horizontal="right"/>
    </xf>
    <xf numFmtId="3" fontId="5" fillId="0" borderId="0" xfId="0" applyNumberFormat="1" applyFont="1" applyAlignment="1">
      <alignment horizontal="right"/>
    </xf>
    <xf numFmtId="0" fontId="0" fillId="0" borderId="0" xfId="0" applyFont="1" applyAlignment="1">
      <alignment horizontal="right"/>
    </xf>
    <xf numFmtId="3" fontId="0" fillId="0" borderId="0" xfId="0" applyNumberFormat="1" applyFont="1" applyAlignment="1">
      <alignment horizontal="right"/>
    </xf>
    <xf numFmtId="4" fontId="0" fillId="0" borderId="0" xfId="0" applyNumberFormat="1" applyFont="1" applyAlignment="1">
      <alignment horizontal="right"/>
    </xf>
    <xf numFmtId="177" fontId="0" fillId="0" borderId="0" xfId="51" applyNumberFormat="1" applyFont="1" applyAlignment="1">
      <alignment/>
    </xf>
    <xf numFmtId="177" fontId="10" fillId="0" borderId="0" xfId="51" applyNumberFormat="1" applyFont="1" applyAlignment="1">
      <alignment/>
    </xf>
    <xf numFmtId="3" fontId="10" fillId="0" borderId="0" xfId="0" applyNumberFormat="1" applyFont="1" applyAlignment="1">
      <alignment horizontal="right"/>
    </xf>
    <xf numFmtId="4" fontId="10" fillId="0" borderId="0" xfId="0" applyNumberFormat="1" applyFont="1" applyAlignment="1">
      <alignment horizontal="right"/>
    </xf>
    <xf numFmtId="4" fontId="14" fillId="0" borderId="0" xfId="0" applyNumberFormat="1" applyFont="1" applyFill="1" applyAlignment="1">
      <alignment horizontal="right"/>
    </xf>
    <xf numFmtId="4" fontId="14" fillId="0" borderId="0" xfId="0" applyNumberFormat="1" applyFont="1" applyFill="1" applyAlignment="1">
      <alignment horizontal="center"/>
    </xf>
    <xf numFmtId="4" fontId="17" fillId="0" borderId="0" xfId="0" applyNumberFormat="1" applyFont="1" applyFill="1" applyAlignment="1">
      <alignment horizontal="right"/>
    </xf>
    <xf numFmtId="4" fontId="17" fillId="0" borderId="0" xfId="0" applyNumberFormat="1" applyFont="1" applyFill="1" applyAlignment="1">
      <alignment horizontal="center"/>
    </xf>
    <xf numFmtId="0" fontId="11" fillId="0" borderId="0" xfId="0" applyFont="1" applyFill="1" applyAlignment="1">
      <alignment/>
    </xf>
    <xf numFmtId="0" fontId="13" fillId="0" borderId="0" xfId="0" applyFont="1" applyFill="1" applyAlignment="1">
      <alignment/>
    </xf>
    <xf numFmtId="0" fontId="13" fillId="0" borderId="0" xfId="0" applyFont="1" applyAlignment="1">
      <alignment wrapText="1"/>
    </xf>
    <xf numFmtId="0" fontId="13" fillId="0" borderId="0" xfId="0" applyFont="1" applyAlignment="1">
      <alignment/>
    </xf>
    <xf numFmtId="0" fontId="16" fillId="0" borderId="0" xfId="0" applyFont="1" applyFill="1" applyAlignment="1">
      <alignment/>
    </xf>
    <xf numFmtId="4" fontId="6" fillId="0" borderId="0" xfId="0" applyNumberFormat="1" applyFont="1" applyFill="1" applyAlignment="1">
      <alignment horizontal="left"/>
    </xf>
    <xf numFmtId="3" fontId="6" fillId="0" borderId="0" xfId="0" applyNumberFormat="1" applyFont="1" applyFill="1" applyAlignment="1">
      <alignment horizontal="left"/>
    </xf>
    <xf numFmtId="0" fontId="13" fillId="0" borderId="10" xfId="0" applyFont="1" applyBorder="1" applyAlignment="1">
      <alignment wrapText="1"/>
    </xf>
    <xf numFmtId="49" fontId="12" fillId="33" borderId="10" xfId="0" applyNumberFormat="1" applyFont="1" applyFill="1" applyBorder="1" applyAlignment="1">
      <alignment horizontal="left"/>
    </xf>
    <xf numFmtId="3" fontId="15" fillId="33" borderId="10" xfId="47" applyNumberFormat="1" applyFont="1" applyFill="1" applyBorder="1" applyAlignment="1" applyProtection="1">
      <alignment horizontal="left"/>
      <protection/>
    </xf>
    <xf numFmtId="4" fontId="18" fillId="0" borderId="0" xfId="0" applyNumberFormat="1" applyFont="1" applyFill="1" applyAlignment="1" applyProtection="1">
      <alignment horizontal="center"/>
      <protection/>
    </xf>
    <xf numFmtId="4" fontId="4" fillId="0" borderId="0" xfId="0" applyNumberFormat="1" applyFont="1" applyFill="1" applyAlignment="1">
      <alignment horizontal="center"/>
    </xf>
    <xf numFmtId="4" fontId="19" fillId="0" borderId="0" xfId="0" applyNumberFormat="1" applyFont="1" applyFill="1" applyAlignment="1" applyProtection="1">
      <alignment horizontal="center"/>
      <protection/>
    </xf>
    <xf numFmtId="4" fontId="6" fillId="0" borderId="0" xfId="0" applyNumberFormat="1" applyFont="1" applyFill="1" applyAlignment="1">
      <alignment horizontal="right"/>
    </xf>
    <xf numFmtId="4" fontId="6" fillId="0" borderId="0" xfId="0" applyNumberFormat="1" applyFont="1" applyFill="1" applyAlignment="1">
      <alignment horizontal="center"/>
    </xf>
    <xf numFmtId="4" fontId="20" fillId="0" borderId="0" xfId="0" applyNumberFormat="1" applyFont="1" applyFill="1" applyAlignment="1" applyProtection="1">
      <alignment horizontal="center"/>
      <protection/>
    </xf>
    <xf numFmtId="4" fontId="21" fillId="0" borderId="0" xfId="0" applyNumberFormat="1" applyFont="1" applyFill="1" applyAlignment="1">
      <alignment horizontal="right"/>
    </xf>
    <xf numFmtId="4" fontId="21" fillId="0" borderId="0" xfId="0" applyNumberFormat="1" applyFont="1" applyFill="1" applyAlignment="1">
      <alignment horizontal="center"/>
    </xf>
    <xf numFmtId="4" fontId="5" fillId="0" borderId="0" xfId="0" applyNumberFormat="1" applyFont="1" applyFill="1" applyAlignment="1">
      <alignment horizontal="center"/>
    </xf>
    <xf numFmtId="3" fontId="19" fillId="0" borderId="0" xfId="0" applyNumberFormat="1" applyFont="1" applyFill="1" applyAlignment="1" applyProtection="1">
      <alignment horizontal="left"/>
      <protection/>
    </xf>
    <xf numFmtId="3" fontId="5" fillId="0" borderId="0" xfId="0" applyNumberFormat="1" applyFont="1" applyFill="1" applyAlignment="1">
      <alignment/>
    </xf>
    <xf numFmtId="9" fontId="5" fillId="0" borderId="0" xfId="0" applyNumberFormat="1" applyFont="1" applyFill="1" applyAlignment="1">
      <alignment/>
    </xf>
    <xf numFmtId="177" fontId="10" fillId="0" borderId="0" xfId="0" applyNumberFormat="1" applyFont="1" applyFill="1" applyAlignment="1">
      <alignment/>
    </xf>
    <xf numFmtId="177" fontId="5" fillId="0" borderId="0" xfId="0" applyNumberFormat="1" applyFont="1" applyFill="1" applyAlignment="1">
      <alignment/>
    </xf>
    <xf numFmtId="4" fontId="24" fillId="0" borderId="0" xfId="0" applyNumberFormat="1" applyFont="1" applyFill="1" applyAlignment="1" applyProtection="1">
      <alignment horizontal="center"/>
      <protection/>
    </xf>
    <xf numFmtId="177" fontId="6" fillId="0" borderId="0" xfId="0" applyNumberFormat="1" applyFont="1" applyFill="1" applyAlignment="1">
      <alignment/>
    </xf>
    <xf numFmtId="177" fontId="25" fillId="0" borderId="0" xfId="0" applyNumberFormat="1" applyFont="1" applyFill="1" applyAlignment="1">
      <alignment/>
    </xf>
    <xf numFmtId="3" fontId="5" fillId="0" borderId="0" xfId="0" applyNumberFormat="1" applyFont="1" applyFill="1" applyAlignment="1">
      <alignment horizontal="left"/>
    </xf>
    <xf numFmtId="0" fontId="0" fillId="0" borderId="0" xfId="0" applyFont="1" applyAlignment="1">
      <alignment horizontal="right"/>
    </xf>
    <xf numFmtId="1" fontId="0" fillId="0" borderId="11" xfId="0" applyNumberFormat="1" applyFont="1" applyFill="1" applyBorder="1" applyAlignment="1" applyProtection="1">
      <alignment/>
      <protection hidden="1" locked="0"/>
    </xf>
    <xf numFmtId="2" fontId="0" fillId="0" borderId="11" xfId="0" applyNumberFormat="1" applyFont="1" applyFill="1" applyBorder="1" applyAlignment="1" applyProtection="1">
      <alignment/>
      <protection hidden="1" locked="0"/>
    </xf>
    <xf numFmtId="174" fontId="0" fillId="0" borderId="11" xfId="0" applyNumberFormat="1" applyFont="1" applyFill="1" applyBorder="1" applyAlignment="1" applyProtection="1">
      <alignment/>
      <protection hidden="1" locked="0"/>
    </xf>
    <xf numFmtId="0" fontId="0" fillId="0" borderId="11" xfId="0" applyFont="1" applyFill="1" applyBorder="1" applyAlignment="1" applyProtection="1">
      <alignment/>
      <protection hidden="1" locked="0"/>
    </xf>
    <xf numFmtId="9" fontId="0" fillId="0" borderId="11" xfId="51" applyFont="1" applyFill="1" applyBorder="1" applyAlignment="1" applyProtection="1">
      <alignment/>
      <protection hidden="1" locked="0"/>
    </xf>
    <xf numFmtId="172" fontId="0" fillId="0" borderId="11" xfId="0" applyNumberFormat="1" applyFont="1" applyFill="1" applyBorder="1" applyAlignment="1" applyProtection="1">
      <alignment/>
      <protection hidden="1" locked="0"/>
    </xf>
    <xf numFmtId="177" fontId="0" fillId="0" borderId="11" xfId="51" applyNumberFormat="1" applyFont="1" applyFill="1" applyBorder="1" applyAlignment="1" applyProtection="1">
      <alignment/>
      <protection hidden="1" locked="0"/>
    </xf>
    <xf numFmtId="9" fontId="0" fillId="0" borderId="11" xfId="0" applyNumberFormat="1" applyFont="1" applyFill="1" applyBorder="1" applyAlignment="1" applyProtection="1">
      <alignment/>
      <protection hidden="1" locked="0"/>
    </xf>
    <xf numFmtId="0" fontId="0" fillId="0" borderId="12" xfId="0" applyFont="1" applyFill="1" applyBorder="1" applyAlignment="1" applyProtection="1">
      <alignment/>
      <protection hidden="1" locked="0"/>
    </xf>
    <xf numFmtId="3" fontId="0" fillId="0" borderId="0" xfId="0" applyNumberFormat="1" applyFont="1" applyAlignment="1">
      <alignment horizontal="right"/>
    </xf>
    <xf numFmtId="10" fontId="0" fillId="0" borderId="11" xfId="51" applyNumberFormat="1" applyFont="1" applyFill="1" applyBorder="1" applyAlignment="1" applyProtection="1">
      <alignment/>
      <protection hidden="1" locked="0"/>
    </xf>
    <xf numFmtId="1" fontId="0" fillId="0" borderId="11" xfId="0" applyNumberFormat="1" applyFont="1" applyFill="1" applyBorder="1" applyAlignment="1" applyProtection="1">
      <alignment/>
      <protection hidden="1" locked="0"/>
    </xf>
    <xf numFmtId="0" fontId="0" fillId="0" borderId="11" xfId="0" applyFont="1" applyFill="1" applyBorder="1" applyAlignment="1" applyProtection="1">
      <alignment/>
      <protection hidden="1" locked="0"/>
    </xf>
    <xf numFmtId="177" fontId="0" fillId="0" borderId="11" xfId="51" applyNumberFormat="1" applyFont="1" applyFill="1" applyBorder="1" applyAlignment="1" applyProtection="1">
      <alignment/>
      <protection hidden="1" locked="0"/>
    </xf>
    <xf numFmtId="3" fontId="6" fillId="0" borderId="0" xfId="0" applyNumberFormat="1" applyFont="1" applyAlignment="1">
      <alignment horizontal="left"/>
    </xf>
    <xf numFmtId="4" fontId="6" fillId="0" borderId="0" xfId="0" applyNumberFormat="1" applyFont="1" applyAlignment="1">
      <alignment horizontal="left"/>
    </xf>
    <xf numFmtId="183" fontId="6" fillId="0" borderId="0" xfId="0" applyNumberFormat="1" applyFont="1" applyAlignment="1">
      <alignment horizontal="right"/>
    </xf>
    <xf numFmtId="2" fontId="0" fillId="0" borderId="0" xfId="51" applyNumberFormat="1" applyFont="1" applyAlignment="1">
      <alignment/>
    </xf>
    <xf numFmtId="4" fontId="27" fillId="0" borderId="0" xfId="0" applyNumberFormat="1" applyFont="1" applyFill="1" applyAlignment="1">
      <alignment horizontal="right"/>
    </xf>
    <xf numFmtId="183" fontId="5" fillId="0" borderId="0" xfId="0" applyNumberFormat="1" applyFont="1" applyAlignment="1">
      <alignment horizontal="right"/>
    </xf>
    <xf numFmtId="1" fontId="0" fillId="0" borderId="0" xfId="51" applyNumberFormat="1" applyFont="1" applyAlignment="1">
      <alignment/>
    </xf>
    <xf numFmtId="0" fontId="0" fillId="0" borderId="0" xfId="0" applyFont="1" applyFill="1" applyAlignment="1">
      <alignment horizontal="left"/>
    </xf>
    <xf numFmtId="4" fontId="5" fillId="0" borderId="0" xfId="0" applyNumberFormat="1" applyFont="1" applyFill="1" applyAlignment="1">
      <alignment horizontal="left"/>
    </xf>
    <xf numFmtId="177" fontId="6" fillId="0" borderId="11" xfId="49" applyNumberFormat="1" applyFont="1" applyFill="1" applyBorder="1" applyAlignment="1">
      <alignment horizontal="right"/>
    </xf>
    <xf numFmtId="4" fontId="6" fillId="0" borderId="12" xfId="49" applyNumberFormat="1" applyFont="1" applyFill="1" applyBorder="1" applyAlignment="1">
      <alignment horizontal="right"/>
    </xf>
    <xf numFmtId="0" fontId="1" fillId="34" borderId="0" xfId="0" applyFont="1" applyFill="1" applyBorder="1" applyAlignment="1">
      <alignment/>
    </xf>
    <xf numFmtId="4" fontId="19" fillId="34" borderId="0" xfId="0" applyNumberFormat="1" applyFont="1" applyFill="1" applyBorder="1" applyAlignment="1" applyProtection="1">
      <alignment horizontal="center"/>
      <protection/>
    </xf>
    <xf numFmtId="0" fontId="20" fillId="34" borderId="0" xfId="0" applyFont="1" applyFill="1" applyBorder="1" applyAlignment="1">
      <alignment/>
    </xf>
    <xf numFmtId="4" fontId="20" fillId="34" borderId="0" xfId="0" applyNumberFormat="1" applyFont="1" applyFill="1" applyBorder="1" applyAlignment="1" applyProtection="1">
      <alignment horizontal="center"/>
      <protection/>
    </xf>
    <xf numFmtId="0" fontId="0" fillId="34" borderId="0" xfId="0" applyFont="1" applyFill="1" applyBorder="1" applyAlignment="1">
      <alignment/>
    </xf>
    <xf numFmtId="3" fontId="19" fillId="34" borderId="0" xfId="0" applyNumberFormat="1" applyFont="1" applyFill="1" applyBorder="1" applyAlignment="1" applyProtection="1">
      <alignment horizontal="left"/>
      <protection/>
    </xf>
    <xf numFmtId="1" fontId="0" fillId="0" borderId="13" xfId="0" applyNumberFormat="1" applyFont="1" applyFill="1" applyBorder="1" applyAlignment="1" applyProtection="1">
      <alignment/>
      <protection hidden="1" locked="0"/>
    </xf>
    <xf numFmtId="0" fontId="23" fillId="34" borderId="0" xfId="0" applyFont="1" applyFill="1" applyBorder="1" applyAlignment="1">
      <alignment/>
    </xf>
    <xf numFmtId="4" fontId="23" fillId="34" borderId="0" xfId="0" applyNumberFormat="1" applyFont="1" applyFill="1" applyBorder="1" applyAlignment="1" applyProtection="1">
      <alignment horizontal="right"/>
      <protection/>
    </xf>
    <xf numFmtId="4" fontId="23" fillId="34" borderId="0" xfId="0" applyNumberFormat="1" applyFont="1" applyFill="1" applyBorder="1" applyAlignment="1" applyProtection="1">
      <alignment horizontal="center"/>
      <protection/>
    </xf>
    <xf numFmtId="0" fontId="0" fillId="34" borderId="0" xfId="0" applyFont="1" applyFill="1" applyBorder="1" applyAlignment="1">
      <alignment/>
    </xf>
    <xf numFmtId="2" fontId="23" fillId="34" borderId="0" xfId="0" applyNumberFormat="1" applyFont="1" applyFill="1" applyBorder="1" applyAlignment="1">
      <alignment horizontal="right"/>
    </xf>
    <xf numFmtId="4" fontId="23" fillId="34" borderId="0" xfId="0" applyNumberFormat="1" applyFont="1" applyFill="1" applyBorder="1" applyAlignment="1">
      <alignment horizontal="right"/>
    </xf>
    <xf numFmtId="4" fontId="5" fillId="34" borderId="0" xfId="0" applyNumberFormat="1" applyFont="1" applyFill="1" applyBorder="1" applyAlignment="1">
      <alignment horizontal="right"/>
    </xf>
    <xf numFmtId="4" fontId="22" fillId="34" borderId="0" xfId="0" applyNumberFormat="1" applyFont="1" applyFill="1" applyBorder="1" applyAlignment="1">
      <alignment horizontal="center"/>
    </xf>
    <xf numFmtId="3" fontId="23" fillId="34" borderId="0" xfId="0" applyNumberFormat="1" applyFont="1" applyFill="1" applyBorder="1" applyAlignment="1">
      <alignment horizontal="right"/>
    </xf>
    <xf numFmtId="4" fontId="23" fillId="34" borderId="0" xfId="0" applyNumberFormat="1" applyFont="1" applyFill="1" applyBorder="1" applyAlignment="1">
      <alignment horizontal="left"/>
    </xf>
    <xf numFmtId="4" fontId="5" fillId="34" borderId="0" xfId="0" applyNumberFormat="1" applyFont="1" applyFill="1" applyBorder="1" applyAlignment="1">
      <alignment horizontal="left"/>
    </xf>
    <xf numFmtId="4" fontId="23" fillId="34" borderId="0" xfId="0" applyNumberFormat="1" applyFont="1" applyFill="1" applyBorder="1" applyAlignment="1">
      <alignment horizontal="center"/>
    </xf>
    <xf numFmtId="0" fontId="10" fillId="34" borderId="0" xfId="0" applyFont="1" applyFill="1" applyBorder="1" applyAlignment="1">
      <alignment/>
    </xf>
    <xf numFmtId="177" fontId="0" fillId="34" borderId="0" xfId="51" applyNumberFormat="1" applyFont="1" applyFill="1" applyBorder="1" applyAlignment="1">
      <alignment/>
    </xf>
    <xf numFmtId="4" fontId="5" fillId="34" borderId="0" xfId="0" applyNumberFormat="1" applyFont="1" applyFill="1" applyBorder="1" applyAlignment="1">
      <alignment horizontal="center"/>
    </xf>
    <xf numFmtId="1" fontId="0" fillId="0" borderId="13" xfId="0" applyNumberFormat="1" applyFont="1" applyFill="1" applyBorder="1" applyAlignment="1" applyProtection="1">
      <alignment/>
      <protection hidden="1" locked="0"/>
    </xf>
    <xf numFmtId="9" fontId="23" fillId="34" borderId="0" xfId="51" applyFont="1" applyFill="1" applyBorder="1" applyAlignment="1">
      <alignment horizontal="left"/>
    </xf>
    <xf numFmtId="0" fontId="7" fillId="34" borderId="0" xfId="47" applyFill="1" applyBorder="1" applyAlignment="1" applyProtection="1">
      <alignment/>
      <protection/>
    </xf>
    <xf numFmtId="4" fontId="7" fillId="34" borderId="0" xfId="47" applyNumberFormat="1" applyFont="1" applyFill="1" applyBorder="1" applyAlignment="1" applyProtection="1">
      <alignment horizontal="center"/>
      <protection/>
    </xf>
    <xf numFmtId="0" fontId="7" fillId="34" borderId="0" xfId="47" applyFont="1" applyFill="1" applyBorder="1" applyAlignment="1" applyProtection="1">
      <alignment/>
      <protection/>
    </xf>
    <xf numFmtId="4" fontId="10" fillId="34" borderId="0" xfId="0" applyNumberFormat="1" applyFont="1" applyFill="1" applyBorder="1" applyAlignment="1">
      <alignment horizontal="center"/>
    </xf>
    <xf numFmtId="4" fontId="6" fillId="34" borderId="0" xfId="0" applyNumberFormat="1" applyFont="1" applyFill="1" applyBorder="1" applyAlignment="1">
      <alignment horizontal="center"/>
    </xf>
    <xf numFmtId="4" fontId="1" fillId="34" borderId="0" xfId="0" applyNumberFormat="1" applyFont="1" applyFill="1" applyBorder="1" applyAlignment="1" applyProtection="1">
      <alignment horizontal="left"/>
      <protection/>
    </xf>
    <xf numFmtId="4" fontId="24" fillId="34" borderId="0" xfId="0" applyNumberFormat="1" applyFont="1" applyFill="1" applyBorder="1" applyAlignment="1" applyProtection="1">
      <alignment horizontal="center"/>
      <protection/>
    </xf>
    <xf numFmtId="0" fontId="62" fillId="34" borderId="0" xfId="0" applyFont="1" applyFill="1" applyBorder="1" applyAlignment="1">
      <alignment/>
    </xf>
    <xf numFmtId="3" fontId="63" fillId="0" borderId="13" xfId="49" applyNumberFormat="1" applyFont="1" applyFill="1" applyBorder="1" applyAlignment="1">
      <alignment horizontal="right"/>
    </xf>
    <xf numFmtId="0" fontId="9" fillId="34" borderId="0" xfId="0" applyFont="1" applyFill="1" applyBorder="1" applyAlignment="1">
      <alignment horizontal="left"/>
    </xf>
    <xf numFmtId="0" fontId="9" fillId="34" borderId="0" xfId="0" applyFont="1" applyFill="1" applyBorder="1" applyAlignment="1">
      <alignment/>
    </xf>
    <xf numFmtId="4" fontId="18" fillId="34" borderId="0" xfId="0" applyNumberFormat="1" applyFont="1" applyFill="1" applyBorder="1" applyAlignment="1" applyProtection="1">
      <alignment horizontal="center"/>
      <protection/>
    </xf>
    <xf numFmtId="0" fontId="1" fillId="34" borderId="0" xfId="0" applyFont="1" applyFill="1" applyBorder="1" applyAlignment="1">
      <alignment horizontal="left"/>
    </xf>
    <xf numFmtId="49" fontId="1" fillId="34" borderId="0" xfId="0" applyNumberFormat="1" applyFont="1" applyFill="1" applyBorder="1" applyAlignment="1">
      <alignment horizontal="left"/>
    </xf>
    <xf numFmtId="49" fontId="62" fillId="34" borderId="0" xfId="0" applyNumberFormat="1" applyFont="1" applyFill="1" applyBorder="1" applyAlignment="1">
      <alignment horizontal="left"/>
    </xf>
    <xf numFmtId="0" fontId="0" fillId="34" borderId="0" xfId="0" applyFont="1" applyFill="1" applyBorder="1" applyAlignment="1">
      <alignment horizontal="left"/>
    </xf>
    <xf numFmtId="0" fontId="0" fillId="34" borderId="0" xfId="0" applyFont="1" applyFill="1" applyBorder="1" applyAlignment="1">
      <alignment horizontal="left"/>
    </xf>
    <xf numFmtId="0" fontId="1" fillId="34" borderId="0" xfId="0" applyFont="1" applyFill="1" applyBorder="1" applyAlignment="1">
      <alignment/>
    </xf>
    <xf numFmtId="4" fontId="6" fillId="0" borderId="0" xfId="0" applyNumberFormat="1" applyFont="1" applyFill="1" applyAlignment="1">
      <alignment/>
    </xf>
    <xf numFmtId="4" fontId="0" fillId="34" borderId="0" xfId="0" applyNumberFormat="1" applyFont="1" applyFill="1" applyBorder="1" applyAlignment="1" applyProtection="1">
      <alignment horizontal="left"/>
      <protection/>
    </xf>
    <xf numFmtId="4" fontId="1" fillId="34" borderId="0" xfId="0" applyNumberFormat="1" applyFont="1" applyFill="1" applyBorder="1" applyAlignment="1" applyProtection="1">
      <alignment horizontal="right"/>
      <protection/>
    </xf>
    <xf numFmtId="4" fontId="1" fillId="34" borderId="0" xfId="0" applyNumberFormat="1" applyFont="1" applyFill="1" applyBorder="1" applyAlignment="1">
      <alignment/>
    </xf>
    <xf numFmtId="4" fontId="6" fillId="34" borderId="0" xfId="0" applyNumberFormat="1" applyFont="1" applyFill="1" applyAlignment="1">
      <alignment/>
    </xf>
    <xf numFmtId="1" fontId="0" fillId="0" borderId="12" xfId="0" applyNumberFormat="1" applyFont="1" applyFill="1" applyBorder="1" applyAlignment="1" applyProtection="1">
      <alignment/>
      <protection hidden="1" locked="0"/>
    </xf>
    <xf numFmtId="172" fontId="63" fillId="0" borderId="13" xfId="49" applyNumberFormat="1" applyFont="1" applyFill="1" applyBorder="1" applyAlignment="1">
      <alignment/>
    </xf>
    <xf numFmtId="1" fontId="63" fillId="0" borderId="11" xfId="49" applyNumberFormat="1" applyFont="1" applyFill="1" applyBorder="1" applyAlignment="1">
      <alignment/>
    </xf>
    <xf numFmtId="172" fontId="63" fillId="0" borderId="12" xfId="49" applyNumberFormat="1"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255"/>
          <c:w val="0.92075"/>
          <c:h val="0.8807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Berechnung!$A$7:$A$32</c:f>
              <c:numCach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Berechnung!$G$7:$G$32</c:f>
              <c:numCache>
                <c:ptCount val="26"/>
                <c:pt idx="0">
                  <c:v>-50</c:v>
                </c:pt>
                <c:pt idx="1">
                  <c:v>6.065769230769231</c:v>
                </c:pt>
                <c:pt idx="2">
                  <c:v>2.579281781376518</c:v>
                </c:pt>
                <c:pt idx="3">
                  <c:v>2.810568129554656</c:v>
                </c:pt>
                <c:pt idx="4">
                  <c:v>3.0479641208097172</c:v>
                </c:pt>
                <c:pt idx="5">
                  <c:v>3.2916530444340095</c:v>
                </c:pt>
                <c:pt idx="6">
                  <c:v>3.5418236883986083</c:v>
                </c:pt>
                <c:pt idx="7">
                  <c:v>3.7986705043137245</c:v>
                </c:pt>
                <c:pt idx="8">
                  <c:v>4.062393777337873</c:v>
                </c:pt>
                <c:pt idx="9">
                  <c:v>4.3331998011843265</c:v>
                </c:pt>
                <c:pt idx="10">
                  <c:v>4.61130105837775</c:v>
                </c:pt>
                <c:pt idx="11">
                  <c:v>3.331126932234344</c:v>
                </c:pt>
                <c:pt idx="12">
                  <c:v>3.781060740201374</c:v>
                </c:pt>
                <c:pt idx="13">
                  <c:v>4.238966246617942</c:v>
                </c:pt>
                <c:pt idx="14">
                  <c:v>4.705082602437532</c:v>
                </c:pt>
                <c:pt idx="15">
                  <c:v>5.179656133142236</c:v>
                </c:pt>
                <c:pt idx="16">
                  <c:v>5.6629405539786095</c:v>
                </c:pt>
                <c:pt idx="17">
                  <c:v>6.155197191650599</c:v>
                </c:pt>
                <c:pt idx="18">
                  <c:v>6.656695212663275</c:v>
                </c:pt>
                <c:pt idx="19">
                  <c:v>7.167711858516856</c:v>
                </c:pt>
                <c:pt idx="20">
                  <c:v>7.688532687956572</c:v>
                </c:pt>
                <c:pt idx="21">
                  <c:v>11.903662352805796</c:v>
                </c:pt>
                <c:pt idx="22">
                  <c:v>12.26077222338997</c:v>
                </c:pt>
                <c:pt idx="23">
                  <c:v>12.62859539009167</c:v>
                </c:pt>
                <c:pt idx="24">
                  <c:v>13.00745325179442</c:v>
                </c:pt>
                <c:pt idx="25">
                  <c:v>13.397676849348253</c:v>
                </c:pt>
              </c:numCache>
            </c:numRef>
          </c:val>
        </c:ser>
        <c:axId val="31878294"/>
        <c:axId val="18469191"/>
      </c:barChart>
      <c:catAx>
        <c:axId val="31878294"/>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Zeit [Jahre]</a:t>
                </a:r>
              </a:p>
            </c:rich>
          </c:tx>
          <c:layout>
            <c:manualLayout>
              <c:xMode val="factor"/>
              <c:yMode val="factor"/>
              <c:x val="-0.00725"/>
              <c:y val="0.0005"/>
            </c:manualLayout>
          </c:layout>
          <c:overlay val="0"/>
          <c:spPr>
            <a:noFill/>
            <a:ln>
              <a:noFill/>
            </a:ln>
          </c:spPr>
        </c:title>
        <c:delete val="0"/>
        <c:numFmt formatCode="General" sourceLinked="1"/>
        <c:majorTickMark val="none"/>
        <c:minorTickMark val="none"/>
        <c:tickLblPos val="low"/>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469191"/>
        <c:crosses val="autoZero"/>
        <c:auto val="1"/>
        <c:lblOffset val="100"/>
        <c:tickLblSkip val="1"/>
        <c:noMultiLvlLbl val="0"/>
      </c:catAx>
      <c:valAx>
        <c:axId val="1846919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Jahresergebnis [Euro]</a:t>
                </a:r>
              </a:p>
            </c:rich>
          </c:tx>
          <c:layout>
            <c:manualLayout>
              <c:xMode val="factor"/>
              <c:yMode val="factor"/>
              <c:x val="-0.0065"/>
              <c:y val="-0.003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878294"/>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255"/>
          <c:w val="0.92075"/>
          <c:h val="0.8807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Berechnung!$A$7:$A$32</c:f>
              <c:numCach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Berechnung!$J$7:$J$32</c:f>
              <c:numCache>
                <c:ptCount val="26"/>
                <c:pt idx="0">
                  <c:v>-50</c:v>
                </c:pt>
                <c:pt idx="1">
                  <c:v>-43.934230769230766</c:v>
                </c:pt>
                <c:pt idx="2">
                  <c:v>-41.44217107707954</c:v>
                </c:pt>
                <c:pt idx="3">
                  <c:v>-38.81847565403149</c:v>
                </c:pt>
                <c:pt idx="4">
                  <c:v>-36.06938664812932</c:v>
                </c:pt>
                <c:pt idx="5">
                  <c:v>-33.20090118627696</c:v>
                </c:pt>
                <c:pt idx="6">
                  <c:v>-30.218780678901442</c:v>
                </c:pt>
                <c:pt idx="7">
                  <c:v>-27.12855977612937</c:v>
                </c:pt>
                <c:pt idx="8">
                  <c:v>-23.93555498840361</c:v>
                </c:pt>
                <c:pt idx="9">
                  <c:v>-20.644872983990272</c:v>
                </c:pt>
                <c:pt idx="10">
                  <c:v>-17.26141857536777</c:v>
                </c:pt>
                <c:pt idx="11">
                  <c:v>-14.899920022251527</c:v>
                </c:pt>
                <c:pt idx="12">
                  <c:v>-12.310098674900656</c:v>
                </c:pt>
                <c:pt idx="13">
                  <c:v>-9.504821610877546</c:v>
                </c:pt>
                <c:pt idx="14">
                  <c:v>-6.496372254970387</c:v>
                </c:pt>
                <c:pt idx="15">
                  <c:v>-3.296475016020227</c:v>
                </c:pt>
                <c:pt idx="16">
                  <c:v>0.08368107447956064</c:v>
                </c:pt>
                <c:pt idx="17">
                  <c:v>3.633419682674719</c:v>
                </c:pt>
                <c:pt idx="18">
                  <c:v>7.342555413714752</c:v>
                </c:pt>
                <c:pt idx="19">
                  <c:v>11.201372937834202</c:v>
                </c:pt>
                <c:pt idx="20">
                  <c:v>15.200606966199572</c:v>
                </c:pt>
                <c:pt idx="21">
                  <c:v>21.182981564513398</c:v>
                </c:pt>
                <c:pt idx="22">
                  <c:v>27.1364558024489</c:v>
                </c:pt>
                <c:pt idx="23">
                  <c:v>33.0611692952736</c:v>
                </c:pt>
                <c:pt idx="24">
                  <c:v>38.95726098378514</c:v>
                </c:pt>
                <c:pt idx="25">
                  <c:v>44.82486913756957</c:v>
                </c:pt>
              </c:numCache>
            </c:numRef>
          </c:val>
        </c:ser>
        <c:axId val="32004992"/>
        <c:axId val="19609473"/>
      </c:barChart>
      <c:catAx>
        <c:axId val="32004992"/>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Zeit [Jahre]</a:t>
                </a:r>
              </a:p>
            </c:rich>
          </c:tx>
          <c:layout>
            <c:manualLayout>
              <c:xMode val="factor"/>
              <c:yMode val="factor"/>
              <c:x val="-0.00725"/>
              <c:y val="0.0005"/>
            </c:manualLayout>
          </c:layout>
          <c:overlay val="0"/>
          <c:spPr>
            <a:noFill/>
            <a:ln>
              <a:noFill/>
            </a:ln>
          </c:spPr>
        </c:title>
        <c:delete val="0"/>
        <c:numFmt formatCode="General" sourceLinked="1"/>
        <c:majorTickMark val="none"/>
        <c:minorTickMark val="none"/>
        <c:tickLblPos val="low"/>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609473"/>
        <c:crosses val="autoZero"/>
        <c:auto val="1"/>
        <c:lblOffset val="100"/>
        <c:tickLblSkip val="1"/>
        <c:noMultiLvlLbl val="0"/>
      </c:catAx>
      <c:valAx>
        <c:axId val="1960947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Kapitalwert [Euro]</a:t>
                </a:r>
              </a:p>
            </c:rich>
          </c:tx>
          <c:layout>
            <c:manualLayout>
              <c:xMode val="factor"/>
              <c:yMode val="factor"/>
              <c:x val="-0.0065"/>
              <c:y val="-0.003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004992"/>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255"/>
          <c:w val="0.91325"/>
          <c:h val="0.8807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Berechnung!$A$7:$A$32</c:f>
              <c:numCach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Berechnung!$N$7:$N$32</c:f>
              <c:numCache>
                <c:ptCount val="26"/>
                <c:pt idx="0">
                  <c:v>-50</c:v>
                </c:pt>
                <c:pt idx="1">
                  <c:v>6.475</c:v>
                </c:pt>
                <c:pt idx="2">
                  <c:v>2.930789473684211</c:v>
                </c:pt>
                <c:pt idx="3">
                  <c:v>3.1012210526315798</c:v>
                </c:pt>
                <c:pt idx="4">
                  <c:v>3.2745086315789482</c:v>
                </c:pt>
                <c:pt idx="5">
                  <c:v>3.4507093305263172</c:v>
                </c:pt>
                <c:pt idx="6">
                  <c:v>3.6298814118736855</c:v>
                </c:pt>
                <c:pt idx="7">
                  <c:v>3.812084303269055</c:v>
                </c:pt>
                <c:pt idx="8">
                  <c:v>3.9973786209133833</c:v>
                </c:pt>
                <c:pt idx="9">
                  <c:v>4.185826193331651</c:v>
                </c:pt>
                <c:pt idx="10">
                  <c:v>4.377490085619337</c:v>
                </c:pt>
                <c:pt idx="11">
                  <c:v>3.006645150489618</c:v>
                </c:pt>
                <c:pt idx="12">
                  <c:v>3.3615148956046728</c:v>
                </c:pt>
                <c:pt idx="13">
                  <c:v>3.719797825095714</c:v>
                </c:pt>
                <c:pt idx="14">
                  <c:v>4.081562202650261</c:v>
                </c:pt>
                <c:pt idx="15">
                  <c:v>4.446877657229582</c:v>
                </c:pt>
                <c:pt idx="16">
                  <c:v>4.815815210374174</c:v>
                </c:pt>
                <c:pt idx="17">
                  <c:v>5.188447304055341</c:v>
                </c:pt>
                <c:pt idx="18">
                  <c:v>5.564847829083817</c:v>
                </c:pt>
                <c:pt idx="19">
                  <c:v>5.945092154086547</c:v>
                </c:pt>
                <c:pt idx="20">
                  <c:v>6.329257155063015</c:v>
                </c:pt>
                <c:pt idx="21">
                  <c:v>10.401631771848486</c:v>
                </c:pt>
                <c:pt idx="22">
                  <c:v>10.609664407285456</c:v>
                </c:pt>
                <c:pt idx="23">
                  <c:v>10.821857695431165</c:v>
                </c:pt>
                <c:pt idx="24">
                  <c:v>11.038294849339788</c:v>
                </c:pt>
                <c:pt idx="25">
                  <c:v>11.259060746326584</c:v>
                </c:pt>
              </c:numCache>
            </c:numRef>
          </c:val>
        </c:ser>
        <c:axId val="42267530"/>
        <c:axId val="44863451"/>
      </c:barChart>
      <c:catAx>
        <c:axId val="42267530"/>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Zeit [Jahre]</a:t>
                </a:r>
              </a:p>
            </c:rich>
          </c:tx>
          <c:layout>
            <c:manualLayout>
              <c:xMode val="factor"/>
              <c:yMode val="factor"/>
              <c:x val="-0.00725"/>
              <c:y val="0.0005"/>
            </c:manualLayout>
          </c:layout>
          <c:overlay val="0"/>
          <c:spPr>
            <a:noFill/>
            <a:ln>
              <a:noFill/>
            </a:ln>
          </c:spPr>
        </c:title>
        <c:delete val="0"/>
        <c:numFmt formatCode="General" sourceLinked="1"/>
        <c:majorTickMark val="none"/>
        <c:minorTickMark val="none"/>
        <c:tickLblPos val="low"/>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863451"/>
        <c:crosses val="autoZero"/>
        <c:auto val="1"/>
        <c:lblOffset val="100"/>
        <c:tickLblSkip val="1"/>
        <c:noMultiLvlLbl val="0"/>
      </c:catAx>
      <c:valAx>
        <c:axId val="4486345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Jahresergebnis [Euro]</a:t>
                </a:r>
              </a:p>
            </c:rich>
          </c:tx>
          <c:layout>
            <c:manualLayout>
              <c:xMode val="factor"/>
              <c:yMode val="factor"/>
              <c:x val="-0.0065"/>
              <c:y val="-0.003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267530"/>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255"/>
          <c:w val="0.91325"/>
          <c:h val="0.8807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Berechnung!$A$7:$A$32</c:f>
              <c:numCach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Berechnung!$P$7:$P$32</c:f>
              <c:numCache>
                <c:ptCount val="26"/>
                <c:pt idx="0">
                  <c:v>-50</c:v>
                </c:pt>
                <c:pt idx="1">
                  <c:v>-43.525</c:v>
                </c:pt>
                <c:pt idx="2">
                  <c:v>-40.69331934909738</c:v>
                </c:pt>
                <c:pt idx="3">
                  <c:v>-37.79829631226424</c:v>
                </c:pt>
                <c:pt idx="4">
                  <c:v>-34.844877137364634</c:v>
                </c:pt>
                <c:pt idx="5">
                  <c:v>-31.83778331123053</c:v>
                </c:pt>
                <c:pt idx="6">
                  <c:v>-28.781520563554352</c:v>
                </c:pt>
                <c:pt idx="7">
                  <c:v>-25.680387526689504</c:v>
                </c:pt>
                <c:pt idx="8">
                  <c:v>-22.538484064220835</c:v>
                </c:pt>
                <c:pt idx="9">
                  <c:v>-19.3597192806921</c:v>
                </c:pt>
                <c:pt idx="10">
                  <c:v>-16.14781922442023</c:v>
                </c:pt>
                <c:pt idx="11">
                  <c:v>-14.01635191108889</c:v>
                </c:pt>
                <c:pt idx="12">
                  <c:v>-11.713896691707447</c:v>
                </c:pt>
                <c:pt idx="13">
                  <c:v>-9.252196618046877</c:v>
                </c:pt>
                <c:pt idx="14">
                  <c:v>-6.642428795204237</c:v>
                </c:pt>
                <c:pt idx="15">
                  <c:v>-3.895228754979609</c:v>
                </c:pt>
                <c:pt idx="16">
                  <c:v>-1.0207138348766231</c:v>
                </c:pt>
                <c:pt idx="17">
                  <c:v>1.9714943979927435</c:v>
                </c:pt>
                <c:pt idx="18">
                  <c:v>5.072248640336549</c:v>
                </c:pt>
                <c:pt idx="19">
                  <c:v>8.272855227142227</c:v>
                </c:pt>
                <c:pt idx="20">
                  <c:v>11.56505435226949</c:v>
                </c:pt>
                <c:pt idx="21">
                  <c:v>16.792559623221088</c:v>
                </c:pt>
                <c:pt idx="22">
                  <c:v>21.94430394821687</c:v>
                </c:pt>
                <c:pt idx="23">
                  <c:v>27.02138531198083</c:v>
                </c:pt>
                <c:pt idx="24">
                  <c:v>32.02488578641487</c:v>
                </c:pt>
                <c:pt idx="25">
                  <c:v>36.95587176121944</c:v>
                </c:pt>
              </c:numCache>
            </c:numRef>
          </c:val>
        </c:ser>
        <c:axId val="1117876"/>
        <c:axId val="10060885"/>
      </c:barChart>
      <c:catAx>
        <c:axId val="1117876"/>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Zeit [Jahre]</a:t>
                </a:r>
              </a:p>
            </c:rich>
          </c:tx>
          <c:layout>
            <c:manualLayout>
              <c:xMode val="factor"/>
              <c:yMode val="factor"/>
              <c:x val="-0.00725"/>
              <c:y val="0.0005"/>
            </c:manualLayout>
          </c:layout>
          <c:overlay val="0"/>
          <c:spPr>
            <a:noFill/>
            <a:ln>
              <a:noFill/>
            </a:ln>
          </c:spPr>
        </c:title>
        <c:delete val="0"/>
        <c:numFmt formatCode="General" sourceLinked="1"/>
        <c:majorTickMark val="none"/>
        <c:minorTickMark val="none"/>
        <c:tickLblPos val="low"/>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060885"/>
        <c:crosses val="autoZero"/>
        <c:auto val="1"/>
        <c:lblOffset val="100"/>
        <c:tickLblSkip val="1"/>
        <c:noMultiLvlLbl val="0"/>
      </c:catAx>
      <c:valAx>
        <c:axId val="1006088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Kapitalwert [Euro]</a:t>
                </a:r>
              </a:p>
            </c:rich>
          </c:tx>
          <c:layout>
            <c:manualLayout>
              <c:xMode val="factor"/>
              <c:yMode val="factor"/>
              <c:x val="-0.0065"/>
              <c:y val="-0.003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17876"/>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4772025</xdr:colOff>
      <xdr:row>0</xdr:row>
      <xdr:rowOff>0</xdr:rowOff>
    </xdr:from>
    <xdr:to>
      <xdr:col>0</xdr:col>
      <xdr:colOff>6581775</xdr:colOff>
      <xdr:row>3</xdr:row>
      <xdr:rowOff>352425</xdr:rowOff>
    </xdr:to>
    <xdr:pic>
      <xdr:nvPicPr>
        <xdr:cNvPr id="1" name="Picture 1" descr="C:\Dokumente und Einstellungen\aw\Desktop\Umweltinstitut-Logo.tif"/>
        <xdr:cNvPicPr preferRelativeResize="1">
          <a:picLocks noChangeAspect="1"/>
        </xdr:cNvPicPr>
      </xdr:nvPicPr>
      <xdr:blipFill>
        <a:blip r:embed="rId1"/>
        <a:stretch>
          <a:fillRect/>
        </a:stretch>
      </xdr:blipFill>
      <xdr:spPr>
        <a:xfrm>
          <a:off x="4772025" y="0"/>
          <a:ext cx="18097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257175</xdr:colOff>
      <xdr:row>0</xdr:row>
      <xdr:rowOff>0</xdr:rowOff>
    </xdr:from>
    <xdr:to>
      <xdr:col>7</xdr:col>
      <xdr:colOff>704850</xdr:colOff>
      <xdr:row>5</xdr:row>
      <xdr:rowOff>133350</xdr:rowOff>
    </xdr:to>
    <xdr:pic>
      <xdr:nvPicPr>
        <xdr:cNvPr id="1" name="Picture 1" descr="C:\Dokumente und Einstellungen\aw\Desktop\Umweltinstitut-Logo.tif"/>
        <xdr:cNvPicPr preferRelativeResize="1">
          <a:picLocks noChangeAspect="1"/>
        </xdr:cNvPicPr>
      </xdr:nvPicPr>
      <xdr:blipFill>
        <a:blip r:embed="rId1"/>
        <a:stretch>
          <a:fillRect/>
        </a:stretch>
      </xdr:blipFill>
      <xdr:spPr>
        <a:xfrm>
          <a:off x="4000500" y="0"/>
          <a:ext cx="2028825"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weltinstitut.org/frames/all/m344.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fw.de/152"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3"/>
  <sheetViews>
    <sheetView showGridLines="0" zoomScalePageLayoutView="0" workbookViewId="0" topLeftCell="A1">
      <selection activeCell="D9" sqref="D9"/>
    </sheetView>
  </sheetViews>
  <sheetFormatPr defaultColWidth="11.421875" defaultRowHeight="12.75"/>
  <cols>
    <col min="1" max="1" width="98.7109375" style="25" customWidth="1"/>
    <col min="2" max="16384" width="11.421875" style="26" customWidth="1"/>
  </cols>
  <sheetData>
    <row r="1" spans="1:14" s="22" customFormat="1" ht="18.75">
      <c r="A1" s="27" t="str">
        <f>Parameter!A1</f>
        <v>Wirtschaftlichkeit:  Wärmedämmung der Außenwand</v>
      </c>
      <c r="B1" s="27"/>
      <c r="C1" s="27"/>
      <c r="D1" s="27"/>
      <c r="E1" s="27"/>
      <c r="F1" s="27"/>
      <c r="G1" s="21"/>
      <c r="H1" s="21"/>
      <c r="I1" s="21"/>
      <c r="J1" s="21"/>
      <c r="K1" s="21"/>
      <c r="L1" s="21"/>
      <c r="M1" s="21"/>
      <c r="N1" s="21"/>
    </row>
    <row r="2" spans="1:14" s="20" customFormat="1" ht="15">
      <c r="A2" s="23" t="str">
        <f>Parameter!A2</f>
        <v>Dr. Alfred Körblein, Umweltinstitut München e.V.</v>
      </c>
      <c r="B2" s="24"/>
      <c r="C2" s="24"/>
      <c r="D2" s="24"/>
      <c r="E2" s="24"/>
      <c r="F2" s="24"/>
      <c r="G2" s="19"/>
      <c r="H2" s="19"/>
      <c r="I2" s="19"/>
      <c r="J2" s="19"/>
      <c r="K2" s="19"/>
      <c r="L2" s="19"/>
      <c r="M2" s="19"/>
      <c r="N2" s="19"/>
    </row>
    <row r="3" spans="1:14" s="20" customFormat="1" ht="15">
      <c r="A3" s="23" t="str">
        <f>Parameter!A3</f>
        <v>02.05.2017</v>
      </c>
      <c r="B3" s="24"/>
      <c r="C3" s="24"/>
      <c r="D3" s="24"/>
      <c r="E3" s="24"/>
      <c r="F3" s="24"/>
      <c r="G3" s="19"/>
      <c r="H3" s="19"/>
      <c r="I3" s="19"/>
      <c r="J3" s="19"/>
      <c r="K3" s="19"/>
      <c r="L3" s="19"/>
      <c r="M3" s="19"/>
      <c r="N3" s="19"/>
    </row>
    <row r="4" spans="1:14" s="20" customFormat="1" ht="41.25" customHeight="1">
      <c r="A4" s="24"/>
      <c r="B4" s="24"/>
      <c r="C4" s="24"/>
      <c r="D4" s="24"/>
      <c r="E4" s="24"/>
      <c r="F4" s="24"/>
      <c r="G4" s="19"/>
      <c r="H4" s="19"/>
      <c r="I4" s="19"/>
      <c r="J4" s="19"/>
      <c r="K4" s="19"/>
      <c r="L4" s="19"/>
      <c r="M4" s="19"/>
      <c r="N4" s="19"/>
    </row>
    <row r="5" ht="69" customHeight="1">
      <c r="A5" s="30" t="s">
        <v>39</v>
      </c>
    </row>
    <row r="6" ht="87" customHeight="1">
      <c r="A6" s="30" t="s">
        <v>81</v>
      </c>
    </row>
    <row r="7" ht="66" customHeight="1">
      <c r="A7" s="30" t="s">
        <v>77</v>
      </c>
    </row>
    <row r="8" ht="24.75" customHeight="1">
      <c r="A8" s="31" t="s">
        <v>10</v>
      </c>
    </row>
    <row r="9" ht="15.75" customHeight="1">
      <c r="A9" s="32" t="s">
        <v>27</v>
      </c>
    </row>
    <row r="10" ht="38.25" customHeight="1">
      <c r="A10" s="30" t="s">
        <v>23</v>
      </c>
    </row>
    <row r="11" ht="29.25" customHeight="1">
      <c r="A11" s="30" t="s">
        <v>4</v>
      </c>
    </row>
    <row r="12" ht="30.75" customHeight="1">
      <c r="A12" s="30" t="s">
        <v>40</v>
      </c>
    </row>
    <row r="13" ht="22.5" customHeight="1">
      <c r="A13" s="30" t="s">
        <v>41</v>
      </c>
    </row>
  </sheetData>
  <sheetProtection sheet="1" objects="1" scenarios="1"/>
  <hyperlinks>
    <hyperlink ref="A9" r:id="rId1" display="Zum Textbeitrag &quot;Wirtschaftlichkeit von Wärmedämmmaßnahmen&quot;"/>
  </hyperlinks>
  <printOptions/>
  <pageMargins left="0.75" right="0.75" top="1" bottom="1" header="0.4921259845" footer="0.4921259845"/>
  <pageSetup horizontalDpi="600" verticalDpi="600" orientation="portrait" paperSize="9" r:id="rId3"/>
  <headerFooter alignWithMargins="0">
    <oddHeader>&amp;C&amp;F</oddHeader>
    <oddFooter>&amp;C&amp;A</oddFooter>
  </headerFooter>
  <drawing r:id="rId2"/>
</worksheet>
</file>

<file path=xl/worksheets/sheet2.xml><?xml version="1.0" encoding="utf-8"?>
<worksheet xmlns="http://schemas.openxmlformats.org/spreadsheetml/2006/main" xmlns:r="http://schemas.openxmlformats.org/officeDocument/2006/relationships">
  <dimension ref="A1:N55"/>
  <sheetViews>
    <sheetView tabSelected="1" zoomScalePageLayoutView="0" workbookViewId="0" topLeftCell="A1">
      <selection activeCell="E55" sqref="E55"/>
    </sheetView>
  </sheetViews>
  <sheetFormatPr defaultColWidth="8.7109375" defaultRowHeight="14.25" customHeight="1"/>
  <cols>
    <col min="1" max="1" width="25.57421875" style="50" customWidth="1"/>
    <col min="2" max="2" width="8.8515625" style="2" customWidth="1"/>
    <col min="3" max="3" width="13.28125" style="2" customWidth="1"/>
    <col min="4" max="4" width="8.421875" style="41" customWidth="1"/>
    <col min="5" max="5" width="6.7109375" style="2" customWidth="1"/>
    <col min="6" max="6" width="9.00390625" style="2" customWidth="1"/>
    <col min="7" max="7" width="8.00390625" style="2" customWidth="1"/>
    <col min="8" max="8" width="13.28125" style="2" customWidth="1"/>
    <col min="9" max="12" width="20.28125" style="2" customWidth="1"/>
    <col min="13" max="14" width="8.7109375" style="2" customWidth="1"/>
    <col min="15" max="16384" width="8.7109375" style="41" customWidth="1"/>
  </cols>
  <sheetData>
    <row r="1" spans="1:14" s="34" customFormat="1" ht="17.25" customHeight="1">
      <c r="A1" s="110" t="s">
        <v>83</v>
      </c>
      <c r="B1" s="111"/>
      <c r="C1" s="111"/>
      <c r="D1" s="111"/>
      <c r="E1" s="111"/>
      <c r="F1" s="111"/>
      <c r="G1" s="112"/>
      <c r="H1" s="112"/>
      <c r="I1" s="33"/>
      <c r="J1" s="33"/>
      <c r="K1" s="1"/>
      <c r="L1" s="1"/>
      <c r="M1" s="1"/>
      <c r="N1" s="1"/>
    </row>
    <row r="2" spans="1:14" s="37" customFormat="1" ht="18" customHeight="1">
      <c r="A2" s="113" t="s">
        <v>21</v>
      </c>
      <c r="B2" s="77"/>
      <c r="C2" s="77"/>
      <c r="D2" s="77"/>
      <c r="E2" s="77"/>
      <c r="F2" s="77"/>
      <c r="G2" s="78"/>
      <c r="H2" s="78"/>
      <c r="I2" s="35"/>
      <c r="J2" s="35"/>
      <c r="K2" s="36"/>
      <c r="L2" s="36"/>
      <c r="M2" s="36"/>
      <c r="N2" s="36"/>
    </row>
    <row r="3" spans="1:14" s="37" customFormat="1" ht="14.25" customHeight="1">
      <c r="A3" s="114" t="s">
        <v>101</v>
      </c>
      <c r="B3" s="77"/>
      <c r="C3" s="77"/>
      <c r="D3" s="77"/>
      <c r="E3" s="77"/>
      <c r="F3" s="77"/>
      <c r="G3" s="78"/>
      <c r="H3" s="78"/>
      <c r="I3" s="35"/>
      <c r="J3" s="35"/>
      <c r="K3" s="36"/>
      <c r="L3" s="36"/>
      <c r="M3" s="36"/>
      <c r="N3" s="36"/>
    </row>
    <row r="4" spans="1:14" s="37" customFormat="1" ht="14.25" customHeight="1">
      <c r="A4" s="114"/>
      <c r="B4" s="77"/>
      <c r="C4" s="77"/>
      <c r="D4" s="77"/>
      <c r="E4" s="77"/>
      <c r="F4" s="77"/>
      <c r="G4" s="78"/>
      <c r="H4" s="78"/>
      <c r="I4" s="35"/>
      <c r="J4" s="35"/>
      <c r="K4" s="36"/>
      <c r="L4" s="36"/>
      <c r="M4" s="36"/>
      <c r="N4" s="36"/>
    </row>
    <row r="5" spans="1:14" s="40" customFormat="1" ht="14.25" customHeight="1">
      <c r="A5" s="115" t="s">
        <v>25</v>
      </c>
      <c r="B5" s="108"/>
      <c r="C5" s="108"/>
      <c r="D5" s="108"/>
      <c r="E5" s="79"/>
      <c r="F5" s="79"/>
      <c r="G5" s="80"/>
      <c r="H5" s="80"/>
      <c r="I5" s="38"/>
      <c r="J5" s="38"/>
      <c r="K5" s="39"/>
      <c r="L5" s="39"/>
      <c r="M5" s="39"/>
      <c r="N5" s="39"/>
    </row>
    <row r="6" spans="1:14" s="40" customFormat="1" ht="14.25" customHeight="1">
      <c r="A6" s="115" t="s">
        <v>51</v>
      </c>
      <c r="B6" s="108"/>
      <c r="C6" s="108"/>
      <c r="D6" s="108"/>
      <c r="E6" s="79"/>
      <c r="F6" s="79"/>
      <c r="G6" s="80"/>
      <c r="H6" s="80"/>
      <c r="I6" s="38"/>
      <c r="J6" s="38"/>
      <c r="K6" s="39"/>
      <c r="L6" s="39"/>
      <c r="M6" s="39"/>
      <c r="N6" s="39"/>
    </row>
    <row r="7" spans="1:14" s="40" customFormat="1" ht="14.25" customHeight="1">
      <c r="A7" s="115" t="s">
        <v>52</v>
      </c>
      <c r="B7" s="108"/>
      <c r="C7" s="108"/>
      <c r="D7" s="108"/>
      <c r="E7" s="79"/>
      <c r="F7" s="79"/>
      <c r="G7" s="80"/>
      <c r="H7" s="80"/>
      <c r="I7" s="38"/>
      <c r="J7" s="38"/>
      <c r="K7" s="39"/>
      <c r="L7" s="39"/>
      <c r="M7" s="39"/>
      <c r="N7" s="39"/>
    </row>
    <row r="8" spans="1:10" ht="14.25" customHeight="1">
      <c r="A8" s="116"/>
      <c r="B8" s="81"/>
      <c r="C8" s="81"/>
      <c r="D8" s="81"/>
      <c r="E8" s="81"/>
      <c r="F8" s="81"/>
      <c r="G8" s="78"/>
      <c r="H8" s="78"/>
      <c r="I8" s="35"/>
      <c r="J8" s="35"/>
    </row>
    <row r="9" spans="1:10" s="42" customFormat="1" ht="14.25" customHeight="1">
      <c r="A9" s="113" t="s">
        <v>12</v>
      </c>
      <c r="B9" s="77"/>
      <c r="C9" s="77"/>
      <c r="D9" s="77" t="s">
        <v>24</v>
      </c>
      <c r="E9" s="82"/>
      <c r="F9" s="82"/>
      <c r="G9" s="78"/>
      <c r="H9" s="78"/>
      <c r="I9" s="35"/>
      <c r="J9" s="35"/>
    </row>
    <row r="10" spans="1:8" s="35" customFormat="1" ht="14.25" customHeight="1">
      <c r="A10" s="116" t="s">
        <v>37</v>
      </c>
      <c r="B10" s="83">
        <v>120</v>
      </c>
      <c r="C10" s="81" t="s">
        <v>55</v>
      </c>
      <c r="D10" s="84" t="s">
        <v>57</v>
      </c>
      <c r="E10" s="85"/>
      <c r="F10" s="85"/>
      <c r="G10" s="86"/>
      <c r="H10" s="78"/>
    </row>
    <row r="11" spans="1:8" s="35" customFormat="1" ht="14.25" customHeight="1">
      <c r="A11" s="116" t="s">
        <v>49</v>
      </c>
      <c r="B11" s="52">
        <v>50</v>
      </c>
      <c r="C11" s="81" t="s">
        <v>55</v>
      </c>
      <c r="D11" s="84" t="s">
        <v>50</v>
      </c>
      <c r="E11" s="85"/>
      <c r="F11" s="85"/>
      <c r="G11" s="86"/>
      <c r="H11" s="78"/>
    </row>
    <row r="12" spans="1:8" s="35" customFormat="1" ht="14.25" customHeight="1">
      <c r="A12" s="116" t="s">
        <v>46</v>
      </c>
      <c r="B12" s="53">
        <v>1.2</v>
      </c>
      <c r="C12" s="81" t="s">
        <v>56</v>
      </c>
      <c r="D12" s="84" t="s">
        <v>58</v>
      </c>
      <c r="E12" s="85"/>
      <c r="F12" s="85"/>
      <c r="G12" s="86"/>
      <c r="H12" s="78"/>
    </row>
    <row r="13" spans="1:8" s="35" customFormat="1" ht="14.25" customHeight="1">
      <c r="A13" s="117" t="s">
        <v>63</v>
      </c>
      <c r="B13" s="54">
        <v>0.04</v>
      </c>
      <c r="C13" s="87" t="s">
        <v>64</v>
      </c>
      <c r="D13" s="84"/>
      <c r="E13" s="85"/>
      <c r="F13" s="85"/>
      <c r="G13" s="86"/>
      <c r="H13" s="78"/>
    </row>
    <row r="14" spans="1:8" s="35" customFormat="1" ht="14.25" customHeight="1">
      <c r="A14" s="116" t="s">
        <v>45</v>
      </c>
      <c r="B14" s="52">
        <v>14</v>
      </c>
      <c r="C14" s="81" t="s">
        <v>44</v>
      </c>
      <c r="D14" s="84" t="s">
        <v>47</v>
      </c>
      <c r="E14" s="84"/>
      <c r="F14" s="84"/>
      <c r="G14" s="88">
        <f>B13*B12/(B13+B14/100*B12)</f>
        <v>0.23076923076923075</v>
      </c>
      <c r="H14" s="84" t="s">
        <v>56</v>
      </c>
    </row>
    <row r="15" spans="1:10" ht="14.25" customHeight="1">
      <c r="A15" s="117" t="s">
        <v>98</v>
      </c>
      <c r="B15" s="55">
        <v>3500</v>
      </c>
      <c r="C15" s="81" t="s">
        <v>13</v>
      </c>
      <c r="D15" s="84" t="s">
        <v>42</v>
      </c>
      <c r="E15" s="89"/>
      <c r="F15" s="89"/>
      <c r="G15" s="86"/>
      <c r="H15" s="78"/>
      <c r="I15" s="35"/>
      <c r="J15" s="35"/>
    </row>
    <row r="16" spans="1:10" ht="14.25" customHeight="1">
      <c r="A16" s="117" t="s">
        <v>99</v>
      </c>
      <c r="B16" s="55">
        <v>2900</v>
      </c>
      <c r="C16" s="81" t="s">
        <v>13</v>
      </c>
      <c r="D16" s="84" t="s">
        <v>100</v>
      </c>
      <c r="E16" s="89"/>
      <c r="F16" s="89"/>
      <c r="G16" s="86"/>
      <c r="H16" s="78"/>
      <c r="I16" s="35"/>
      <c r="J16" s="35"/>
    </row>
    <row r="17" spans="1:10" ht="14.25" customHeight="1">
      <c r="A17" s="116" t="s">
        <v>14</v>
      </c>
      <c r="B17" s="56">
        <v>0.9</v>
      </c>
      <c r="C17" s="81"/>
      <c r="D17" s="81"/>
      <c r="E17" s="90"/>
      <c r="F17" s="90"/>
      <c r="G17" s="78"/>
      <c r="H17" s="78"/>
      <c r="I17" s="35"/>
      <c r="J17" s="35"/>
    </row>
    <row r="18" spans="1:14" s="37" customFormat="1" ht="14.25" customHeight="1">
      <c r="A18" s="116" t="s">
        <v>15</v>
      </c>
      <c r="B18" s="55">
        <v>0.225</v>
      </c>
      <c r="C18" s="81" t="s">
        <v>43</v>
      </c>
      <c r="D18" s="84" t="s">
        <v>31</v>
      </c>
      <c r="E18" s="91"/>
      <c r="F18" s="91"/>
      <c r="G18" s="86"/>
      <c r="H18" s="78"/>
      <c r="I18" s="35"/>
      <c r="J18" s="35"/>
      <c r="K18" s="36"/>
      <c r="L18" s="2"/>
      <c r="M18" s="2"/>
      <c r="N18" s="2"/>
    </row>
    <row r="19" spans="1:14" s="37" customFormat="1" ht="14.25" customHeight="1">
      <c r="A19" s="117" t="s">
        <v>72</v>
      </c>
      <c r="B19" s="59">
        <v>0.1</v>
      </c>
      <c r="C19" s="87" t="s">
        <v>0</v>
      </c>
      <c r="D19" s="84" t="s">
        <v>93</v>
      </c>
      <c r="E19" s="91"/>
      <c r="F19" s="91"/>
      <c r="G19" s="86"/>
      <c r="H19" s="78"/>
      <c r="I19" s="35"/>
      <c r="J19" s="35"/>
      <c r="K19" s="36"/>
      <c r="L19" s="2"/>
      <c r="M19" s="2"/>
      <c r="N19" s="2"/>
    </row>
    <row r="20" spans="1:10" ht="14.25" customHeight="1">
      <c r="A20" s="117" t="s">
        <v>95</v>
      </c>
      <c r="B20" s="57">
        <v>7</v>
      </c>
      <c r="C20" s="81" t="s">
        <v>33</v>
      </c>
      <c r="D20" s="84" t="s">
        <v>61</v>
      </c>
      <c r="E20" s="92">
        <f>10*B20</f>
        <v>70</v>
      </c>
      <c r="F20" s="93" t="s">
        <v>26</v>
      </c>
      <c r="G20" s="86"/>
      <c r="H20" s="78"/>
      <c r="I20" s="35"/>
      <c r="J20" s="35"/>
    </row>
    <row r="21" spans="1:14" ht="14.25" customHeight="1">
      <c r="A21" s="117" t="s">
        <v>97</v>
      </c>
      <c r="B21" s="58">
        <v>0.03</v>
      </c>
      <c r="C21" s="81" t="s">
        <v>0</v>
      </c>
      <c r="D21" s="81"/>
      <c r="E21" s="94"/>
      <c r="F21" s="94"/>
      <c r="G21" s="78"/>
      <c r="H21" s="78"/>
      <c r="I21" s="35"/>
      <c r="J21" s="35"/>
      <c r="K21" s="41"/>
      <c r="L21" s="43"/>
      <c r="M21" s="43"/>
      <c r="N21" s="43"/>
    </row>
    <row r="22" spans="1:14" ht="14.25" customHeight="1">
      <c r="A22" s="116" t="s">
        <v>34</v>
      </c>
      <c r="B22" s="58">
        <v>0.02</v>
      </c>
      <c r="C22" s="81" t="s">
        <v>0</v>
      </c>
      <c r="D22" s="81"/>
      <c r="E22" s="94"/>
      <c r="F22" s="94"/>
      <c r="G22" s="78"/>
      <c r="H22" s="78"/>
      <c r="I22" s="35"/>
      <c r="J22" s="35"/>
      <c r="K22" s="41"/>
      <c r="L22" s="43"/>
      <c r="M22" s="43"/>
      <c r="N22" s="43"/>
    </row>
    <row r="23" spans="1:14" ht="14.25" customHeight="1">
      <c r="A23" s="116" t="s">
        <v>16</v>
      </c>
      <c r="B23" s="58">
        <v>0.035</v>
      </c>
      <c r="C23" s="81" t="s">
        <v>0</v>
      </c>
      <c r="D23" s="84" t="s">
        <v>17</v>
      </c>
      <c r="E23" s="95"/>
      <c r="F23" s="95"/>
      <c r="G23" s="86"/>
      <c r="H23" s="78"/>
      <c r="I23" s="35"/>
      <c r="J23" s="35"/>
      <c r="K23" s="41"/>
      <c r="L23" s="43"/>
      <c r="M23" s="43"/>
      <c r="N23" s="43"/>
    </row>
    <row r="24" spans="1:14" ht="14.25" customHeight="1">
      <c r="A24" s="116" t="s">
        <v>54</v>
      </c>
      <c r="B24" s="59">
        <v>0</v>
      </c>
      <c r="C24" s="81"/>
      <c r="D24" s="84" t="s">
        <v>70</v>
      </c>
      <c r="E24" s="95"/>
      <c r="F24" s="95"/>
      <c r="G24" s="86"/>
      <c r="H24" s="78"/>
      <c r="I24" s="35"/>
      <c r="J24" s="35"/>
      <c r="K24" s="41"/>
      <c r="L24" s="43"/>
      <c r="M24" s="43"/>
      <c r="N24" s="43"/>
    </row>
    <row r="25" spans="1:14" ht="14.25" customHeight="1">
      <c r="A25" s="116" t="s">
        <v>38</v>
      </c>
      <c r="B25" s="60">
        <v>20</v>
      </c>
      <c r="C25" s="96"/>
      <c r="D25" s="84" t="s">
        <v>32</v>
      </c>
      <c r="E25" s="95"/>
      <c r="F25" s="84"/>
      <c r="G25" s="86"/>
      <c r="H25" s="78"/>
      <c r="I25" s="35"/>
      <c r="J25" s="35"/>
      <c r="K25" s="41"/>
      <c r="L25" s="44"/>
      <c r="M25" s="45"/>
      <c r="N25" s="45"/>
    </row>
    <row r="26" spans="1:14" ht="14.25" customHeight="1">
      <c r="A26" s="116"/>
      <c r="B26" s="97"/>
      <c r="C26" s="81"/>
      <c r="D26" s="81"/>
      <c r="E26" s="98"/>
      <c r="F26" s="98"/>
      <c r="G26" s="78"/>
      <c r="H26" s="78"/>
      <c r="I26" s="35"/>
      <c r="J26" s="35"/>
      <c r="K26" s="41"/>
      <c r="L26" s="44"/>
      <c r="M26" s="45"/>
      <c r="N26" s="45"/>
    </row>
    <row r="27" spans="1:14" ht="14.25" customHeight="1">
      <c r="A27" s="113" t="s">
        <v>11</v>
      </c>
      <c r="B27" s="97"/>
      <c r="C27" s="81"/>
      <c r="D27" s="81"/>
      <c r="E27" s="98"/>
      <c r="F27" s="98"/>
      <c r="G27" s="78"/>
      <c r="H27" s="78"/>
      <c r="I27" s="35"/>
      <c r="J27" s="35"/>
      <c r="K27" s="41"/>
      <c r="L27" s="44"/>
      <c r="M27" s="45"/>
      <c r="N27" s="45"/>
    </row>
    <row r="28" spans="1:14" ht="14.25" customHeight="1">
      <c r="A28" s="117" t="s">
        <v>96</v>
      </c>
      <c r="B28" s="99">
        <f>Kosten-Instandhaltung</f>
        <v>70</v>
      </c>
      <c r="C28" s="87" t="s">
        <v>55</v>
      </c>
      <c r="D28" s="100"/>
      <c r="E28" s="93"/>
      <c r="F28" s="84"/>
      <c r="G28" s="86"/>
      <c r="H28" s="78"/>
      <c r="I28" s="35"/>
      <c r="J28" s="35"/>
      <c r="K28" s="41"/>
      <c r="L28" s="44"/>
      <c r="M28" s="45"/>
      <c r="N28" s="45"/>
    </row>
    <row r="29" spans="1:14" ht="14.25" customHeight="1">
      <c r="A29" s="117" t="s">
        <v>65</v>
      </c>
      <c r="B29" s="62">
        <v>0.0075</v>
      </c>
      <c r="C29" s="87" t="s">
        <v>0</v>
      </c>
      <c r="D29" s="93" t="s">
        <v>94</v>
      </c>
      <c r="E29" s="95"/>
      <c r="F29" s="95"/>
      <c r="G29" s="101" t="s">
        <v>62</v>
      </c>
      <c r="I29" s="35"/>
      <c r="J29" s="35"/>
      <c r="K29" s="41"/>
      <c r="L29" s="44"/>
      <c r="M29" s="45"/>
      <c r="N29" s="45"/>
    </row>
    <row r="30" spans="1:14" ht="14.25" customHeight="1">
      <c r="A30" s="117" t="s">
        <v>60</v>
      </c>
      <c r="B30" s="62">
        <v>0.0025</v>
      </c>
      <c r="C30" s="87"/>
      <c r="D30" s="103"/>
      <c r="E30" s="98"/>
      <c r="F30" s="102"/>
      <c r="G30" s="84"/>
      <c r="H30" s="78"/>
      <c r="I30" s="35"/>
      <c r="J30" s="35"/>
      <c r="K30" s="41"/>
      <c r="L30" s="44"/>
      <c r="M30" s="45"/>
      <c r="N30" s="45"/>
    </row>
    <row r="31" spans="1:14" ht="14.25" customHeight="1">
      <c r="A31" s="117" t="s">
        <v>28</v>
      </c>
      <c r="B31" s="63">
        <v>10</v>
      </c>
      <c r="C31" s="87" t="s">
        <v>8</v>
      </c>
      <c r="D31" s="98"/>
      <c r="E31" s="98"/>
      <c r="F31" s="98"/>
      <c r="G31" s="78"/>
      <c r="H31" s="78"/>
      <c r="I31" s="35"/>
      <c r="J31" s="35"/>
      <c r="K31" s="41"/>
      <c r="L31" s="44"/>
      <c r="M31" s="45"/>
      <c r="N31" s="45"/>
    </row>
    <row r="32" spans="1:14" ht="14.25" customHeight="1">
      <c r="A32" s="117" t="s">
        <v>29</v>
      </c>
      <c r="B32" s="65">
        <v>0.05</v>
      </c>
      <c r="C32" s="87" t="s">
        <v>0</v>
      </c>
      <c r="D32" s="87"/>
      <c r="E32" s="98"/>
      <c r="F32" s="98"/>
      <c r="G32" s="78"/>
      <c r="H32" s="78"/>
      <c r="I32" s="35"/>
      <c r="J32" s="35"/>
      <c r="K32" s="41"/>
      <c r="L32" s="44"/>
      <c r="M32" s="45"/>
      <c r="N32" s="45"/>
    </row>
    <row r="33" spans="1:14" ht="14.25" customHeight="1">
      <c r="A33" s="117" t="s">
        <v>82</v>
      </c>
      <c r="B33" s="64">
        <v>20</v>
      </c>
      <c r="C33" s="87" t="s">
        <v>8</v>
      </c>
      <c r="D33" s="96"/>
      <c r="E33" s="104"/>
      <c r="F33" s="104"/>
      <c r="G33" s="78"/>
      <c r="H33" s="78"/>
      <c r="I33" s="35"/>
      <c r="J33" s="35"/>
      <c r="K33" s="41"/>
      <c r="L33" s="44"/>
      <c r="M33" s="45"/>
      <c r="N33" s="45"/>
    </row>
    <row r="34" spans="1:14" ht="14.25" customHeight="1">
      <c r="A34" s="117" t="s">
        <v>35</v>
      </c>
      <c r="B34" s="124">
        <v>1</v>
      </c>
      <c r="C34" s="87" t="s">
        <v>8</v>
      </c>
      <c r="D34" s="87"/>
      <c r="E34" s="98"/>
      <c r="F34" s="98"/>
      <c r="G34" s="78"/>
      <c r="H34" s="78"/>
      <c r="I34" s="35"/>
      <c r="J34" s="35"/>
      <c r="K34" s="41"/>
      <c r="L34" s="44"/>
      <c r="M34" s="45"/>
      <c r="N34" s="45"/>
    </row>
    <row r="35" spans="1:14" ht="14.25" customHeight="1">
      <c r="A35" s="116"/>
      <c r="B35" s="97"/>
      <c r="C35" s="81"/>
      <c r="D35" s="81"/>
      <c r="E35" s="98"/>
      <c r="F35" s="98"/>
      <c r="G35" s="78"/>
      <c r="H35" s="78"/>
      <c r="I35" s="35"/>
      <c r="J35" s="35"/>
      <c r="K35" s="41"/>
      <c r="L35" s="44"/>
      <c r="M35" s="45"/>
      <c r="N35" s="45"/>
    </row>
    <row r="36" spans="1:14" ht="14.25" customHeight="1">
      <c r="A36" s="113" t="s">
        <v>18</v>
      </c>
      <c r="B36" s="97"/>
      <c r="C36" s="81"/>
      <c r="D36" s="81"/>
      <c r="E36" s="98"/>
      <c r="F36" s="98"/>
      <c r="G36" s="78"/>
      <c r="H36" s="78"/>
      <c r="I36" s="35"/>
      <c r="J36" s="35"/>
      <c r="K36" s="41"/>
      <c r="L36" s="46"/>
      <c r="M36" s="45"/>
      <c r="N36" s="45"/>
    </row>
    <row r="37" spans="1:14" ht="14.25" customHeight="1">
      <c r="A37" s="117" t="s">
        <v>78</v>
      </c>
      <c r="B37" s="125">
        <f>(Kosten-Instandhaltung)/Berechnung!V38*100</f>
        <v>3.9056164758576752</v>
      </c>
      <c r="C37" s="87" t="s">
        <v>33</v>
      </c>
      <c r="D37" s="81"/>
      <c r="E37" s="98"/>
      <c r="F37" s="98"/>
      <c r="G37" s="78"/>
      <c r="H37" s="78"/>
      <c r="I37" s="35"/>
      <c r="J37" s="35"/>
      <c r="K37" s="41"/>
      <c r="L37" s="46"/>
      <c r="M37" s="45"/>
      <c r="N37" s="45"/>
    </row>
    <row r="38" spans="1:14" ht="14.25" customHeight="1">
      <c r="A38" s="116" t="s">
        <v>19</v>
      </c>
      <c r="B38" s="126">
        <f>(Gradtagszahl_vor*UWert_vor-Gradtagszahl_nach*UWert_nach)/Wirkungsgrad/1000*24</f>
        <v>94.15384615384616</v>
      </c>
      <c r="C38" s="87" t="s">
        <v>88</v>
      </c>
      <c r="D38" s="87"/>
      <c r="E38" s="98"/>
      <c r="F38" s="98"/>
      <c r="G38" s="78"/>
      <c r="H38" s="78"/>
      <c r="I38" s="35"/>
      <c r="J38" s="35"/>
      <c r="K38" s="41"/>
      <c r="L38" s="46"/>
      <c r="M38" s="45"/>
      <c r="N38" s="45"/>
    </row>
    <row r="39" spans="1:14" ht="14.25" customHeight="1">
      <c r="A39" s="116" t="s">
        <v>20</v>
      </c>
      <c r="B39" s="127">
        <f>B38*B18</f>
        <v>21.184615384615388</v>
      </c>
      <c r="C39" s="87" t="s">
        <v>89</v>
      </c>
      <c r="D39" s="81"/>
      <c r="E39" s="98"/>
      <c r="F39" s="98"/>
      <c r="G39" s="78"/>
      <c r="H39" s="78"/>
      <c r="I39" s="35"/>
      <c r="J39" s="35"/>
      <c r="K39" s="41"/>
      <c r="L39" s="46"/>
      <c r="M39" s="45"/>
      <c r="N39" s="45"/>
    </row>
    <row r="40" spans="1:14" ht="14.25" customHeight="1">
      <c r="A40" s="116"/>
      <c r="B40" s="81"/>
      <c r="C40" s="81"/>
      <c r="D40" s="81"/>
      <c r="E40" s="98"/>
      <c r="F40" s="98"/>
      <c r="G40" s="78"/>
      <c r="H40" s="78"/>
      <c r="I40" s="35"/>
      <c r="J40" s="35"/>
      <c r="K40" s="41"/>
      <c r="L40" s="46"/>
      <c r="M40" s="45"/>
      <c r="N40" s="45"/>
    </row>
    <row r="41" spans="1:14" ht="14.25" customHeight="1">
      <c r="A41" s="113" t="s">
        <v>75</v>
      </c>
      <c r="B41" s="81"/>
      <c r="C41" s="81"/>
      <c r="D41" s="81"/>
      <c r="E41" s="98"/>
      <c r="F41" s="98"/>
      <c r="G41" s="78"/>
      <c r="H41" s="78"/>
      <c r="I41" s="35"/>
      <c r="J41" s="35"/>
      <c r="K41" s="41"/>
      <c r="L41" s="46"/>
      <c r="M41" s="45"/>
      <c r="N41" s="45"/>
    </row>
    <row r="42" spans="1:14" s="37" customFormat="1" ht="14.25" customHeight="1">
      <c r="A42" s="113"/>
      <c r="B42" s="77" t="s">
        <v>76</v>
      </c>
      <c r="C42" s="77"/>
      <c r="D42" s="77" t="s">
        <v>84</v>
      </c>
      <c r="E42" s="105"/>
      <c r="F42" s="105"/>
      <c r="G42" s="106"/>
      <c r="H42" s="107"/>
      <c r="I42" s="47"/>
      <c r="J42" s="47"/>
      <c r="L42" s="48"/>
      <c r="M42" s="49"/>
      <c r="N42" s="49"/>
    </row>
    <row r="43" spans="1:14" ht="14.25" customHeight="1">
      <c r="A43" s="116" t="s">
        <v>30</v>
      </c>
      <c r="B43" s="109">
        <f>Berechnung!K40</f>
        <v>16</v>
      </c>
      <c r="C43" s="81" t="s">
        <v>8</v>
      </c>
      <c r="D43" s="109">
        <f>Berechnung!Q40</f>
        <v>17</v>
      </c>
      <c r="E43" s="81" t="s">
        <v>8</v>
      </c>
      <c r="F43" s="98"/>
      <c r="G43" s="78"/>
      <c r="H43" s="81"/>
      <c r="I43" s="35"/>
      <c r="J43" s="35"/>
      <c r="K43" s="41"/>
      <c r="L43" s="46"/>
      <c r="M43" s="45"/>
      <c r="N43" s="45"/>
    </row>
    <row r="44" spans="1:14" ht="14.25" customHeight="1">
      <c r="A44" s="116" t="s">
        <v>36</v>
      </c>
      <c r="B44" s="75">
        <f>IF($B25=20,Berechnung!G40,IF($B25=25,Berechnung!G41,IF($B25=30,Berechnung!G42,"FALSE")))</f>
        <v>0.058774838903790094</v>
      </c>
      <c r="C44" s="81" t="s">
        <v>0</v>
      </c>
      <c r="D44" s="75">
        <f>IF($B25=20,Berechnung!N40,IF($B25=25,Berechnung!N41,IF($B25=30,Berechnung!N42,"FALSE")))</f>
        <v>0.05382848069806845</v>
      </c>
      <c r="E44" s="81" t="s">
        <v>0</v>
      </c>
      <c r="F44" s="98"/>
      <c r="G44" s="78"/>
      <c r="H44" s="81"/>
      <c r="I44" s="35"/>
      <c r="J44" s="35"/>
      <c r="K44" s="41"/>
      <c r="L44" s="46"/>
      <c r="M44" s="45"/>
      <c r="N44" s="45"/>
    </row>
    <row r="45" spans="1:14" s="37" customFormat="1" ht="14.25" customHeight="1">
      <c r="A45" s="116" t="s">
        <v>9</v>
      </c>
      <c r="B45" s="76">
        <f>IF(B$25=20,Berechnung!J40,IF(B$25=25,Berechnung!J41,IF(B$25=30,Berechnung!J42,"FALSE")))</f>
        <v>15.200606966199572</v>
      </c>
      <c r="C45" s="87" t="s">
        <v>87</v>
      </c>
      <c r="D45" s="76">
        <f>IF(B$25=20,Berechnung!P40,IF(B$25=25,Berechnung!P41,IF(B$25=30,Berechnung!P42,"FALSE")))</f>
        <v>11.56505435226949</v>
      </c>
      <c r="E45" s="87" t="s">
        <v>87</v>
      </c>
      <c r="F45" s="98"/>
      <c r="G45" s="78"/>
      <c r="H45" s="81"/>
      <c r="I45" s="47"/>
      <c r="J45" s="47"/>
      <c r="L45" s="48"/>
      <c r="M45" s="49"/>
      <c r="N45" s="49"/>
    </row>
    <row r="46" spans="1:9" ht="14.25" customHeight="1">
      <c r="A46" s="107"/>
      <c r="B46" s="107"/>
      <c r="C46" s="107"/>
      <c r="D46" s="107"/>
      <c r="E46" s="107"/>
      <c r="F46" s="107"/>
      <c r="G46" s="107"/>
      <c r="H46" s="107"/>
      <c r="I46" s="47"/>
    </row>
    <row r="47" spans="1:9" ht="14.25" customHeight="1">
      <c r="A47" s="113" t="s">
        <v>92</v>
      </c>
      <c r="B47" s="107"/>
      <c r="C47" s="107"/>
      <c r="D47" s="107"/>
      <c r="E47" s="107"/>
      <c r="F47" s="107"/>
      <c r="G47" s="107"/>
      <c r="H47" s="107"/>
      <c r="I47" s="47"/>
    </row>
    <row r="48" spans="1:9" ht="14.25" customHeight="1">
      <c r="A48" s="118" t="s">
        <v>85</v>
      </c>
      <c r="B48" s="121">
        <f>Berechnung!R8</f>
        <v>0.40923076923076884</v>
      </c>
      <c r="C48" s="120" t="s">
        <v>90</v>
      </c>
      <c r="D48" s="107"/>
      <c r="E48" s="107"/>
      <c r="F48" s="107"/>
      <c r="G48" s="107"/>
      <c r="H48" s="107"/>
      <c r="I48" s="47"/>
    </row>
    <row r="49" spans="1:14" ht="14.25" customHeight="1">
      <c r="A49" s="119" t="s">
        <v>86</v>
      </c>
      <c r="B49" s="122">
        <f>Berechnung!S18</f>
        <v>-0.22722884004145147</v>
      </c>
      <c r="C49" s="120" t="s">
        <v>91</v>
      </c>
      <c r="D49" s="81"/>
      <c r="E49" s="98"/>
      <c r="F49" s="98"/>
      <c r="G49" s="78"/>
      <c r="H49" s="78"/>
      <c r="I49" s="35"/>
      <c r="J49" s="35"/>
      <c r="K49" s="41"/>
      <c r="L49" s="46"/>
      <c r="M49" s="45"/>
      <c r="N49" s="45"/>
    </row>
    <row r="50" spans="1:14" ht="14.25" customHeight="1">
      <c r="A50" s="123"/>
      <c r="B50" s="122"/>
      <c r="C50" s="120"/>
      <c r="D50" s="81"/>
      <c r="E50" s="98"/>
      <c r="F50" s="98"/>
      <c r="G50" s="78"/>
      <c r="H50" s="78"/>
      <c r="I50" s="35"/>
      <c r="J50" s="35"/>
      <c r="K50" s="41"/>
      <c r="L50" s="46"/>
      <c r="M50" s="45"/>
      <c r="N50" s="45"/>
    </row>
    <row r="51" spans="4:5" ht="14.25" customHeight="1">
      <c r="D51" s="4">
        <v>5</v>
      </c>
      <c r="E51" s="4">
        <v>0</v>
      </c>
    </row>
    <row r="52" spans="4:5" ht="14.25" customHeight="1">
      <c r="D52" s="4">
        <v>10</v>
      </c>
      <c r="E52" s="4">
        <v>1</v>
      </c>
    </row>
    <row r="53" spans="4:5" ht="14.25" customHeight="1">
      <c r="D53" s="4">
        <v>20</v>
      </c>
      <c r="E53" s="4">
        <v>2</v>
      </c>
    </row>
    <row r="54" spans="4:5" ht="14.25" customHeight="1">
      <c r="D54" s="4">
        <v>30</v>
      </c>
      <c r="E54" s="4">
        <v>3</v>
      </c>
    </row>
    <row r="55" ht="14.25" customHeight="1">
      <c r="E55" s="4">
        <v>5</v>
      </c>
    </row>
  </sheetData>
  <sheetProtection sheet="1"/>
  <dataValidations count="3">
    <dataValidation type="list" allowBlank="1" showInputMessage="1" showErrorMessage="1" sqref="B34">
      <formula1>$E$51:$E$55</formula1>
    </dataValidation>
    <dataValidation type="list" allowBlank="1" showInputMessage="1" showErrorMessage="1" sqref="B33">
      <formula1>$D$52:$D$54</formula1>
    </dataValidation>
    <dataValidation type="list" allowBlank="1" showInputMessage="1" showErrorMessage="1" sqref="B31">
      <formula1>$D$51:$D$53</formula1>
    </dataValidation>
  </dataValidations>
  <hyperlinks>
    <hyperlink ref="G29" r:id="rId1" display="www.kfw.de/152"/>
  </hyperlinks>
  <printOptions gridLines="1" horizontalCentered="1"/>
  <pageMargins left="0.3937007874015748" right="0.3937007874015748" top="0.7874015748031497" bottom="0.7874015748031497" header="0.5118110236220472" footer="0.5118110236220472"/>
  <pageSetup horizontalDpi="300" verticalDpi="300" orientation="portrait" paperSize="9" r:id="rId5"/>
  <headerFooter alignWithMargins="0">
    <oddHeader>&amp;C&amp;F</oddHeader>
    <oddFooter>&amp;C&amp;A</oddFooter>
  </headerFooter>
  <drawing r:id="rId4"/>
  <legacyDrawing r:id="rId3"/>
</worksheet>
</file>

<file path=xl/worksheets/sheet3.xml><?xml version="1.0" encoding="utf-8"?>
<worksheet xmlns="http://schemas.openxmlformats.org/spreadsheetml/2006/main" xmlns:r="http://schemas.openxmlformats.org/officeDocument/2006/relationships">
  <dimension ref="A1:W59"/>
  <sheetViews>
    <sheetView zoomScalePageLayoutView="0" workbookViewId="0" topLeftCell="A30">
      <selection activeCell="Q41" sqref="Q41"/>
    </sheetView>
  </sheetViews>
  <sheetFormatPr defaultColWidth="7.57421875" defaultRowHeight="12.75"/>
  <cols>
    <col min="1" max="1" width="7.57421875" style="12" customWidth="1"/>
    <col min="2" max="3" width="7.57421875" style="13" customWidth="1"/>
    <col min="4" max="5" width="7.57421875" style="61" customWidth="1"/>
    <col min="6" max="6" width="7.57421875" style="51" customWidth="1"/>
    <col min="7" max="7" width="7.57421875" style="14" customWidth="1"/>
    <col min="8" max="8" width="7.57421875" style="0" customWidth="1"/>
    <col min="9" max="10" width="7.57421875" style="14" customWidth="1"/>
    <col min="11" max="11" width="3.28125" style="13" customWidth="1"/>
    <col min="12" max="12" width="7.57421875" style="13" customWidth="1"/>
    <col min="13" max="16" width="7.57421875" style="12" customWidth="1"/>
    <col min="17" max="17" width="7.57421875" style="13" customWidth="1"/>
    <col min="18" max="21" width="7.57421875" style="12" customWidth="1"/>
    <col min="22" max="22" width="7.57421875" style="51" customWidth="1"/>
    <col min="23" max="16384" width="7.57421875" style="12" customWidth="1"/>
  </cols>
  <sheetData>
    <row r="1" spans="1:22" s="1" customFormat="1" ht="15.75">
      <c r="A1" s="5" t="str">
        <f>Parameter!A1</f>
        <v>Wirtschaftlichkeit:  Wärmedämmung der Außenwand</v>
      </c>
      <c r="B1" s="7"/>
      <c r="C1" s="7"/>
      <c r="K1" s="3"/>
      <c r="L1" s="7"/>
      <c r="Q1" s="3"/>
      <c r="V1" s="70"/>
    </row>
    <row r="2" spans="1:17" s="2" customFormat="1" ht="12.75">
      <c r="A2" s="6" t="str">
        <f>Parameter!A2</f>
        <v>Dr. Alfred Körblein, Umweltinstitut München e.V.</v>
      </c>
      <c r="B2" s="8"/>
      <c r="C2" s="8"/>
      <c r="K2" s="4"/>
      <c r="L2" s="8"/>
      <c r="Q2" s="4"/>
    </row>
    <row r="3" spans="1:17" s="2" customFormat="1" ht="12.75">
      <c r="A3" s="6" t="str">
        <f>Parameter!A3</f>
        <v>02.05.2017</v>
      </c>
      <c r="B3" s="8"/>
      <c r="C3" s="8"/>
      <c r="K3" s="4"/>
      <c r="L3" s="8"/>
      <c r="Q3" s="4"/>
    </row>
    <row r="4" spans="2:18" s="74" customFormat="1" ht="12.75">
      <c r="B4" s="73"/>
      <c r="C4" s="73"/>
      <c r="G4" s="28" t="s">
        <v>68</v>
      </c>
      <c r="K4" s="50"/>
      <c r="L4" s="73"/>
      <c r="M4" s="28"/>
      <c r="N4" s="28" t="s">
        <v>67</v>
      </c>
      <c r="Q4" s="50"/>
      <c r="R4" s="28" t="s">
        <v>66</v>
      </c>
    </row>
    <row r="5" spans="1:22" s="74" customFormat="1" ht="12.75">
      <c r="A5" s="73"/>
      <c r="B5" s="73"/>
      <c r="C5" s="73"/>
      <c r="D5" s="28" t="s">
        <v>71</v>
      </c>
      <c r="G5" s="28" t="s">
        <v>74</v>
      </c>
      <c r="L5" s="6" t="s">
        <v>59</v>
      </c>
      <c r="M5" s="29"/>
      <c r="N5" s="29" t="s">
        <v>73</v>
      </c>
      <c r="R5" s="29" t="s">
        <v>69</v>
      </c>
      <c r="V5" s="28" t="s">
        <v>78</v>
      </c>
    </row>
    <row r="6" spans="1:22" s="67" customFormat="1" ht="12.75">
      <c r="A6" s="66" t="s">
        <v>1</v>
      </c>
      <c r="B6" s="66" t="s">
        <v>22</v>
      </c>
      <c r="C6" s="66" t="s">
        <v>48</v>
      </c>
      <c r="D6" s="66" t="s">
        <v>2</v>
      </c>
      <c r="E6" s="66" t="s">
        <v>7</v>
      </c>
      <c r="F6" s="66" t="s">
        <v>6</v>
      </c>
      <c r="G6" s="67" t="s">
        <v>3</v>
      </c>
      <c r="H6" s="67" t="s">
        <v>80</v>
      </c>
      <c r="I6" s="67" t="s">
        <v>5</v>
      </c>
      <c r="J6" s="67" t="s">
        <v>9</v>
      </c>
      <c r="L6" s="66"/>
      <c r="M6" s="67" t="s">
        <v>53</v>
      </c>
      <c r="N6" s="67" t="s">
        <v>3</v>
      </c>
      <c r="O6" s="67" t="s">
        <v>5</v>
      </c>
      <c r="P6" s="67" t="s">
        <v>9</v>
      </c>
      <c r="R6" s="67" t="s">
        <v>3</v>
      </c>
      <c r="S6" s="67" t="s">
        <v>5</v>
      </c>
      <c r="T6" s="67" t="s">
        <v>9</v>
      </c>
      <c r="V6" s="67" t="s">
        <v>79</v>
      </c>
    </row>
    <row r="7" spans="1:22" s="9" customFormat="1" ht="12.75">
      <c r="A7" s="11">
        <v>0</v>
      </c>
      <c r="B7" s="10"/>
      <c r="C7" s="10"/>
      <c r="F7" s="10">
        <f>Darlehen</f>
        <v>70</v>
      </c>
      <c r="G7" s="10">
        <f>-(Kosten-Darlehen)</f>
        <v>-50</v>
      </c>
      <c r="H7" s="10"/>
      <c r="J7" s="10">
        <f>G7</f>
        <v>-50</v>
      </c>
      <c r="K7" s="11"/>
      <c r="L7" s="10"/>
      <c r="M7" s="10"/>
      <c r="N7" s="10">
        <f>-(Kosten-Darlehen)</f>
        <v>-50</v>
      </c>
      <c r="P7" s="10">
        <f>N7</f>
        <v>-50</v>
      </c>
      <c r="Q7" s="11"/>
      <c r="R7" s="10"/>
      <c r="V7" s="10"/>
    </row>
    <row r="8" spans="1:23" s="9" customFormat="1" ht="12.75">
      <c r="A8" s="11">
        <v>1</v>
      </c>
      <c r="B8" s="10">
        <f>Energieeinsparung*Energiekosten/100</f>
        <v>6.590769230769231</v>
      </c>
      <c r="C8" s="10">
        <f>Prozent_Umlage*(Kosten-Instandhaltung)</f>
        <v>7</v>
      </c>
      <c r="D8" s="10">
        <f aca="true" t="shared" si="0" ref="D8:D37">IF(A8&lt;=Zinsbindung,F7*Zinssatz,F7*Zinssatz_nach_Zinsbindung)</f>
        <v>0.525</v>
      </c>
      <c r="E8" s="10">
        <f aca="true" t="shared" si="1" ref="E8:E37">IF(OR(A8&lt;=Tilgungsfrei,A8&gt;Laufzeit),0,F$7/(Laufzeit-Tilgungsfrei))</f>
        <v>0</v>
      </c>
      <c r="F8" s="10">
        <f aca="true" t="shared" si="2" ref="F8:F37">F7-E8</f>
        <v>70</v>
      </c>
      <c r="G8" s="10">
        <f>B8-D8-E8</f>
        <v>6.065769230769231</v>
      </c>
      <c r="H8" s="10">
        <f>H7+G8</f>
        <v>6.065769230769231</v>
      </c>
      <c r="I8" s="10">
        <f aca="true" t="shared" si="3" ref="I8:I37">G8/(1+Diskontsatz)^A7</f>
        <v>6.065769230769231</v>
      </c>
      <c r="J8" s="10">
        <f>G7+I8</f>
        <v>-43.934230769230766</v>
      </c>
      <c r="K8" s="11">
        <f>IF(AND(G7&lt;0,J8&gt;0),A8,"")</f>
      </c>
      <c r="L8" s="10">
        <f aca="true" t="shared" si="4" ref="L8:L37">IF(A8&gt;Zeitraum,0,(Kosten-Instandhaltung)/Zeitraum)</f>
        <v>3.5</v>
      </c>
      <c r="M8" s="10">
        <f aca="true" t="shared" si="5" ref="M8:M37">(D8+L8)*Steuersatz</f>
        <v>0</v>
      </c>
      <c r="N8" s="10">
        <f>C8-D8-E8+M8</f>
        <v>6.475</v>
      </c>
      <c r="O8" s="10">
        <f aca="true" t="shared" si="6" ref="O8:O37">(N8+M8)/(1+Diskontsatz)^A7</f>
        <v>6.475</v>
      </c>
      <c r="P8" s="10">
        <f>P7+O8</f>
        <v>-43.525</v>
      </c>
      <c r="Q8" s="11">
        <f aca="true" t="shared" si="7" ref="Q8:Q37">IF(AND(P7&lt;0,P8&gt;0),A8,"")</f>
      </c>
      <c r="R8" s="10">
        <f>C8-B8</f>
        <v>0.40923076923076884</v>
      </c>
      <c r="S8" s="10">
        <f aca="true" t="shared" si="8" ref="S8:S37">R8*(1-Diskontsatz)^A7</f>
        <v>0.40923076923076884</v>
      </c>
      <c r="T8" s="10">
        <f aca="true" t="shared" si="9" ref="T8:T32">T7+S8</f>
        <v>0.40923076923076884</v>
      </c>
      <c r="U8" s="11">
        <f>IF(AND(T7&lt;0,T8&gt;0),#REF!,"")</f>
      </c>
      <c r="V8" s="71">
        <f aca="true" t="shared" si="10" ref="V8:V37">Energieeinsparung/(1+Diskontsatz)^A7</f>
        <v>94.15384615384616</v>
      </c>
      <c r="W8" s="68"/>
    </row>
    <row r="9" spans="1:22" s="10" customFormat="1" ht="12" customHeight="1">
      <c r="A9" s="11">
        <f aca="true" t="shared" si="11" ref="A9:A37">A8+1</f>
        <v>2</v>
      </c>
      <c r="B9" s="10">
        <f aca="true" t="shared" si="12" ref="B9:B37">B8*(1+Energiekostensteigerung)</f>
        <v>6.788492307692308</v>
      </c>
      <c r="C9" s="10">
        <f aca="true" t="shared" si="13" ref="C9:C37">C8*(1+Inflation)</f>
        <v>7.140000000000001</v>
      </c>
      <c r="D9" s="10">
        <f t="shared" si="0"/>
        <v>0.525</v>
      </c>
      <c r="E9" s="10">
        <f t="shared" si="1"/>
        <v>3.6842105263157894</v>
      </c>
      <c r="F9" s="10">
        <f t="shared" si="2"/>
        <v>66.3157894736842</v>
      </c>
      <c r="G9" s="10">
        <f aca="true" t="shared" si="14" ref="G9:G37">B9-D9-E9</f>
        <v>2.579281781376518</v>
      </c>
      <c r="H9" s="10">
        <f aca="true" t="shared" si="15" ref="H9:H37">H8+G9</f>
        <v>8.64505101214575</v>
      </c>
      <c r="I9" s="10">
        <f t="shared" si="3"/>
        <v>2.4920596921512255</v>
      </c>
      <c r="J9" s="10">
        <f aca="true" t="shared" si="16" ref="J9:J37">J8+I9</f>
        <v>-41.44217107707954</v>
      </c>
      <c r="K9" s="11">
        <f aca="true" t="shared" si="17" ref="K9:K37">IF(AND(J8&lt;0,J9&gt;0),A9,"")</f>
      </c>
      <c r="L9" s="10">
        <f t="shared" si="4"/>
        <v>3.5</v>
      </c>
      <c r="M9" s="10">
        <f t="shared" si="5"/>
        <v>0</v>
      </c>
      <c r="N9" s="10">
        <f aca="true" t="shared" si="18" ref="N9:N37">C9-D9-E9+M9</f>
        <v>2.930789473684211</v>
      </c>
      <c r="O9" s="10">
        <f t="shared" si="6"/>
        <v>2.8316806509026193</v>
      </c>
      <c r="P9" s="10">
        <f aca="true" t="shared" si="19" ref="P9:P37">P8+O9</f>
        <v>-40.69331934909738</v>
      </c>
      <c r="Q9" s="11">
        <f t="shared" si="7"/>
      </c>
      <c r="R9" s="10">
        <f aca="true" t="shared" si="20" ref="R9:R37">C9-B9</f>
        <v>0.35150769230769274</v>
      </c>
      <c r="S9" s="10">
        <f t="shared" si="8"/>
        <v>0.33920492307692346</v>
      </c>
      <c r="T9" s="10">
        <f t="shared" si="9"/>
        <v>0.7484356923076922</v>
      </c>
      <c r="U9" s="11">
        <f>IF(AND(T8&lt;0,T9&gt;0),#REF!,"")</f>
      </c>
      <c r="V9" s="71">
        <f t="shared" si="10"/>
        <v>90.96989966555185</v>
      </c>
    </row>
    <row r="10" spans="1:22" s="10" customFormat="1" ht="12.75">
      <c r="A10" s="11">
        <f t="shared" si="11"/>
        <v>3</v>
      </c>
      <c r="B10" s="10">
        <f t="shared" si="12"/>
        <v>6.992147076923077</v>
      </c>
      <c r="C10" s="10">
        <f t="shared" si="13"/>
        <v>7.282800000000001</v>
      </c>
      <c r="D10" s="10">
        <f t="shared" si="0"/>
        <v>0.4973684210526315</v>
      </c>
      <c r="E10" s="10">
        <f t="shared" si="1"/>
        <v>3.6842105263157894</v>
      </c>
      <c r="F10" s="10">
        <f t="shared" si="2"/>
        <v>62.63157894736842</v>
      </c>
      <c r="G10" s="10">
        <f t="shared" si="14"/>
        <v>2.810568129554656</v>
      </c>
      <c r="H10" s="10">
        <f t="shared" si="15"/>
        <v>11.455619141700407</v>
      </c>
      <c r="I10" s="10">
        <f t="shared" si="3"/>
        <v>2.623695423048058</v>
      </c>
      <c r="J10" s="10">
        <f t="shared" si="16"/>
        <v>-38.81847565403149</v>
      </c>
      <c r="K10" s="11">
        <f t="shared" si="17"/>
      </c>
      <c r="L10" s="10">
        <f t="shared" si="4"/>
        <v>3.5</v>
      </c>
      <c r="M10" s="10">
        <f t="shared" si="5"/>
        <v>0</v>
      </c>
      <c r="N10" s="10">
        <f t="shared" si="18"/>
        <v>3.1012210526315798</v>
      </c>
      <c r="O10" s="10">
        <f t="shared" si="6"/>
        <v>2.8950230368331398</v>
      </c>
      <c r="P10" s="10">
        <f t="shared" si="19"/>
        <v>-37.79829631226424</v>
      </c>
      <c r="Q10" s="11">
        <f t="shared" si="7"/>
      </c>
      <c r="R10" s="10">
        <f t="shared" si="20"/>
        <v>0.2906529230769239</v>
      </c>
      <c r="S10" s="10">
        <f t="shared" si="8"/>
        <v>0.27066326829230847</v>
      </c>
      <c r="T10" s="10">
        <f t="shared" si="9"/>
        <v>1.0190989606000007</v>
      </c>
      <c r="U10" s="11">
        <f>IF(AND(T9&lt;0,T10&gt;0),#REF!,"")</f>
      </c>
      <c r="V10" s="71">
        <f t="shared" si="10"/>
        <v>87.89362286526749</v>
      </c>
    </row>
    <row r="11" spans="1:22" s="10" customFormat="1" ht="12.75">
      <c r="A11" s="11">
        <f t="shared" si="11"/>
        <v>4</v>
      </c>
      <c r="B11" s="10">
        <f t="shared" si="12"/>
        <v>7.20191148923077</v>
      </c>
      <c r="C11" s="10">
        <f t="shared" si="13"/>
        <v>7.428456000000001</v>
      </c>
      <c r="D11" s="10">
        <f t="shared" si="0"/>
        <v>0.4697368421052631</v>
      </c>
      <c r="E11" s="10">
        <f t="shared" si="1"/>
        <v>3.6842105263157894</v>
      </c>
      <c r="F11" s="10">
        <f t="shared" si="2"/>
        <v>58.94736842105263</v>
      </c>
      <c r="G11" s="10">
        <f t="shared" si="14"/>
        <v>3.0479641208097172</v>
      </c>
      <c r="H11" s="10">
        <f t="shared" si="15"/>
        <v>14.503583262510123</v>
      </c>
      <c r="I11" s="10">
        <f t="shared" si="3"/>
        <v>2.7490890059021713</v>
      </c>
      <c r="J11" s="10">
        <f t="shared" si="16"/>
        <v>-36.06938664812932</v>
      </c>
      <c r="K11" s="11">
        <f t="shared" si="17"/>
      </c>
      <c r="L11" s="10">
        <f t="shared" si="4"/>
        <v>3.5</v>
      </c>
      <c r="M11" s="10">
        <f t="shared" si="5"/>
        <v>0</v>
      </c>
      <c r="N11" s="10">
        <f t="shared" si="18"/>
        <v>3.2745086315789482</v>
      </c>
      <c r="O11" s="10">
        <f t="shared" si="6"/>
        <v>2.95341917489961</v>
      </c>
      <c r="P11" s="10">
        <f t="shared" si="19"/>
        <v>-34.844877137364634</v>
      </c>
      <c r="Q11" s="11">
        <f t="shared" si="7"/>
      </c>
      <c r="R11" s="10">
        <f t="shared" si="20"/>
        <v>0.226544510769231</v>
      </c>
      <c r="S11" s="10">
        <f t="shared" si="8"/>
        <v>0.2035801751196394</v>
      </c>
      <c r="T11" s="10">
        <f t="shared" si="9"/>
        <v>1.22267913571964</v>
      </c>
      <c r="U11" s="11">
        <f>IF(AND(T10&lt;0,T11&gt;0),#REF!,"")</f>
      </c>
      <c r="V11" s="71">
        <f t="shared" si="10"/>
        <v>84.92137474905073</v>
      </c>
    </row>
    <row r="12" spans="1:22" s="10" customFormat="1" ht="12.75">
      <c r="A12" s="11">
        <f t="shared" si="11"/>
        <v>5</v>
      </c>
      <c r="B12" s="10">
        <f t="shared" si="12"/>
        <v>7.417968833907693</v>
      </c>
      <c r="C12" s="10">
        <f t="shared" si="13"/>
        <v>7.577025120000001</v>
      </c>
      <c r="D12" s="10">
        <f t="shared" si="0"/>
        <v>0.4421052631578947</v>
      </c>
      <c r="E12" s="10">
        <f t="shared" si="1"/>
        <v>3.6842105263157894</v>
      </c>
      <c r="F12" s="10">
        <f t="shared" si="2"/>
        <v>55.26315789473684</v>
      </c>
      <c r="G12" s="10">
        <f t="shared" si="14"/>
        <v>3.2916530444340095</v>
      </c>
      <c r="H12" s="10">
        <f t="shared" si="15"/>
        <v>17.795236306944133</v>
      </c>
      <c r="I12" s="10">
        <f t="shared" si="3"/>
        <v>2.868485461852361</v>
      </c>
      <c r="J12" s="10">
        <f t="shared" si="16"/>
        <v>-33.20090118627696</v>
      </c>
      <c r="K12" s="11">
        <f t="shared" si="17"/>
      </c>
      <c r="L12" s="10">
        <f t="shared" si="4"/>
        <v>3.5</v>
      </c>
      <c r="M12" s="10">
        <f t="shared" si="5"/>
        <v>0</v>
      </c>
      <c r="N12" s="10">
        <f t="shared" si="18"/>
        <v>3.4507093305263172</v>
      </c>
      <c r="O12" s="10">
        <f t="shared" si="6"/>
        <v>3.007093826134103</v>
      </c>
      <c r="P12" s="10">
        <f t="shared" si="19"/>
        <v>-31.83778331123053</v>
      </c>
      <c r="Q12" s="11">
        <f t="shared" si="7"/>
      </c>
      <c r="R12" s="10">
        <f t="shared" si="20"/>
        <v>0.1590562860923077</v>
      </c>
      <c r="S12" s="10">
        <f t="shared" si="8"/>
        <v>0.13793043027293755</v>
      </c>
      <c r="T12" s="10">
        <f t="shared" si="9"/>
        <v>1.3606095659925777</v>
      </c>
      <c r="U12" s="11">
        <f>IF(AND(T11&lt;0,T12&gt;0),#REF!,"")</f>
      </c>
      <c r="V12" s="71">
        <f t="shared" si="10"/>
        <v>82.04963743869637</v>
      </c>
    </row>
    <row r="13" spans="1:22" s="10" customFormat="1" ht="12.75">
      <c r="A13" s="11">
        <f t="shared" si="11"/>
        <v>6</v>
      </c>
      <c r="B13" s="10">
        <f t="shared" si="12"/>
        <v>7.640507898924924</v>
      </c>
      <c r="C13" s="10">
        <f t="shared" si="13"/>
        <v>7.7285656224000014</v>
      </c>
      <c r="D13" s="10">
        <f t="shared" si="0"/>
        <v>0.4144736842105263</v>
      </c>
      <c r="E13" s="10">
        <f t="shared" si="1"/>
        <v>3.6842105263157894</v>
      </c>
      <c r="F13" s="10">
        <f t="shared" si="2"/>
        <v>51.578947368421055</v>
      </c>
      <c r="G13" s="10">
        <f t="shared" si="14"/>
        <v>3.5418236883986083</v>
      </c>
      <c r="H13" s="10">
        <f t="shared" si="15"/>
        <v>21.33705999534274</v>
      </c>
      <c r="I13" s="10">
        <f t="shared" si="3"/>
        <v>2.982120507375515</v>
      </c>
      <c r="J13" s="10">
        <f t="shared" si="16"/>
        <v>-30.218780678901442</v>
      </c>
      <c r="K13" s="11">
        <f t="shared" si="17"/>
      </c>
      <c r="L13" s="10">
        <f t="shared" si="4"/>
        <v>3.5</v>
      </c>
      <c r="M13" s="10">
        <f t="shared" si="5"/>
        <v>0</v>
      </c>
      <c r="N13" s="10">
        <f t="shared" si="18"/>
        <v>3.6298814118736855</v>
      </c>
      <c r="O13" s="10">
        <f t="shared" si="6"/>
        <v>3.056262747676178</v>
      </c>
      <c r="P13" s="10">
        <f t="shared" si="19"/>
        <v>-28.781520563554352</v>
      </c>
      <c r="Q13" s="11">
        <f t="shared" si="7"/>
      </c>
      <c r="R13" s="10">
        <f t="shared" si="20"/>
        <v>0.08805772347507723</v>
      </c>
      <c r="S13" s="10">
        <f t="shared" si="8"/>
        <v>0.07368923031371817</v>
      </c>
      <c r="T13" s="10">
        <f t="shared" si="9"/>
        <v>1.4342987963062959</v>
      </c>
      <c r="U13" s="11">
        <f>IF(AND(T12&lt;0,T13&gt;0),#REF!,"")</f>
      </c>
      <c r="V13" s="71">
        <f t="shared" si="10"/>
        <v>79.27501201806413</v>
      </c>
    </row>
    <row r="14" spans="1:22" s="10" customFormat="1" ht="12.75">
      <c r="A14" s="11">
        <f t="shared" si="11"/>
        <v>7</v>
      </c>
      <c r="B14" s="10">
        <f t="shared" si="12"/>
        <v>7.869723135892672</v>
      </c>
      <c r="C14" s="10">
        <f t="shared" si="13"/>
        <v>7.883136934848002</v>
      </c>
      <c r="D14" s="10">
        <f t="shared" si="0"/>
        <v>0.3868421052631579</v>
      </c>
      <c r="E14" s="10">
        <f t="shared" si="1"/>
        <v>3.6842105263157894</v>
      </c>
      <c r="F14" s="10">
        <f t="shared" si="2"/>
        <v>47.89473684210527</v>
      </c>
      <c r="G14" s="10">
        <f t="shared" si="14"/>
        <v>3.7986705043137245</v>
      </c>
      <c r="H14" s="10">
        <f t="shared" si="15"/>
        <v>25.135730499656468</v>
      </c>
      <c r="I14" s="10">
        <f t="shared" si="3"/>
        <v>3.0902209027720713</v>
      </c>
      <c r="J14" s="10">
        <f t="shared" si="16"/>
        <v>-27.12855977612937</v>
      </c>
      <c r="K14" s="11">
        <f t="shared" si="17"/>
      </c>
      <c r="L14" s="10">
        <f t="shared" si="4"/>
        <v>3.5</v>
      </c>
      <c r="M14" s="10">
        <f t="shared" si="5"/>
        <v>0</v>
      </c>
      <c r="N14" s="10">
        <f t="shared" si="18"/>
        <v>3.812084303269055</v>
      </c>
      <c r="O14" s="10">
        <f t="shared" si="6"/>
        <v>3.101133036864847</v>
      </c>
      <c r="P14" s="10">
        <f t="shared" si="19"/>
        <v>-25.680387526689504</v>
      </c>
      <c r="Q14" s="11">
        <f t="shared" si="7"/>
      </c>
      <c r="R14" s="10">
        <f t="shared" si="20"/>
        <v>0.013413798955330236</v>
      </c>
      <c r="S14" s="10">
        <f t="shared" si="8"/>
        <v>0.010832175131692635</v>
      </c>
      <c r="T14" s="10">
        <f t="shared" si="9"/>
        <v>1.4451309714379885</v>
      </c>
      <c r="U14" s="11">
        <f>IF(AND(T13&lt;0,T14&gt;0),#REF!,"")</f>
      </c>
      <c r="V14" s="71">
        <f t="shared" si="10"/>
        <v>76.59421451020688</v>
      </c>
    </row>
    <row r="15" spans="1:22" s="10" customFormat="1" ht="12.75">
      <c r="A15" s="11">
        <f t="shared" si="11"/>
        <v>8</v>
      </c>
      <c r="B15" s="10">
        <f t="shared" si="12"/>
        <v>8.105814829969452</v>
      </c>
      <c r="C15" s="10">
        <f t="shared" si="13"/>
        <v>8.040799673544962</v>
      </c>
      <c r="D15" s="10">
        <f t="shared" si="0"/>
        <v>0.3592105263157895</v>
      </c>
      <c r="E15" s="10">
        <f t="shared" si="1"/>
        <v>3.6842105263157894</v>
      </c>
      <c r="F15" s="10">
        <f t="shared" si="2"/>
        <v>44.21052631578948</v>
      </c>
      <c r="G15" s="10">
        <f t="shared" si="14"/>
        <v>4.062393777337873</v>
      </c>
      <c r="H15" s="10">
        <f t="shared" si="15"/>
        <v>29.198124276994342</v>
      </c>
      <c r="I15" s="10">
        <f t="shared" si="3"/>
        <v>3.193004787725764</v>
      </c>
      <c r="J15" s="10">
        <f t="shared" si="16"/>
        <v>-23.93555498840361</v>
      </c>
      <c r="K15" s="11">
        <f t="shared" si="17"/>
      </c>
      <c r="L15" s="10">
        <f t="shared" si="4"/>
        <v>3.5</v>
      </c>
      <c r="M15" s="10">
        <f t="shared" si="5"/>
        <v>0</v>
      </c>
      <c r="N15" s="10">
        <f t="shared" si="18"/>
        <v>3.9973786209133833</v>
      </c>
      <c r="O15" s="10">
        <f t="shared" si="6"/>
        <v>3.14190346246867</v>
      </c>
      <c r="P15" s="10">
        <f t="shared" si="19"/>
        <v>-22.538484064220835</v>
      </c>
      <c r="Q15" s="11">
        <f t="shared" si="7"/>
      </c>
      <c r="R15" s="10">
        <f t="shared" si="20"/>
        <v>-0.06501515642449007</v>
      </c>
      <c r="S15" s="10">
        <f t="shared" si="8"/>
        <v>-0.050664738471665895</v>
      </c>
      <c r="T15" s="10">
        <f t="shared" si="9"/>
        <v>1.3944662329663227</v>
      </c>
      <c r="U15" s="11">
        <f>IF(AND(T14&lt;0,T15&gt;0),#REF!,"")</f>
      </c>
      <c r="V15" s="71">
        <f t="shared" si="10"/>
        <v>74.00407199053805</v>
      </c>
    </row>
    <row r="16" spans="1:22" s="10" customFormat="1" ht="12.75">
      <c r="A16" s="11">
        <f t="shared" si="11"/>
        <v>9</v>
      </c>
      <c r="B16" s="10">
        <f t="shared" si="12"/>
        <v>8.348989274868536</v>
      </c>
      <c r="C16" s="10">
        <f t="shared" si="13"/>
        <v>8.201615667015862</v>
      </c>
      <c r="D16" s="10">
        <f t="shared" si="0"/>
        <v>0.3315789473684211</v>
      </c>
      <c r="E16" s="10">
        <f t="shared" si="1"/>
        <v>3.6842105263157894</v>
      </c>
      <c r="F16" s="10">
        <f t="shared" si="2"/>
        <v>40.52631578947369</v>
      </c>
      <c r="G16" s="10">
        <f t="shared" si="14"/>
        <v>4.3331998011843265</v>
      </c>
      <c r="H16" s="10">
        <f t="shared" si="15"/>
        <v>33.53132407817867</v>
      </c>
      <c r="I16" s="10">
        <f t="shared" si="3"/>
        <v>3.2906820044133367</v>
      </c>
      <c r="J16" s="10">
        <f t="shared" si="16"/>
        <v>-20.644872983990272</v>
      </c>
      <c r="K16" s="11">
        <f t="shared" si="17"/>
      </c>
      <c r="L16" s="10">
        <f t="shared" si="4"/>
        <v>3.5</v>
      </c>
      <c r="M16" s="10">
        <f t="shared" si="5"/>
        <v>0</v>
      </c>
      <c r="N16" s="10">
        <f t="shared" si="18"/>
        <v>4.185826193331651</v>
      </c>
      <c r="O16" s="10">
        <f t="shared" si="6"/>
        <v>3.178764783528733</v>
      </c>
      <c r="P16" s="10">
        <f t="shared" si="19"/>
        <v>-19.3597192806921</v>
      </c>
      <c r="Q16" s="11">
        <f t="shared" si="7"/>
      </c>
      <c r="R16" s="10">
        <f t="shared" si="20"/>
        <v>-0.14737360785267484</v>
      </c>
      <c r="S16" s="10">
        <f t="shared" si="8"/>
        <v>-0.11082512309830644</v>
      </c>
      <c r="T16" s="10">
        <f t="shared" si="9"/>
        <v>1.2836411098680163</v>
      </c>
      <c r="U16" s="11">
        <f>IF(AND(T15&lt;0,T16&gt;0),#REF!,"")</f>
      </c>
      <c r="V16" s="71">
        <f t="shared" si="10"/>
        <v>71.50151883143775</v>
      </c>
    </row>
    <row r="17" spans="1:22" s="10" customFormat="1" ht="12.75">
      <c r="A17" s="11">
        <f t="shared" si="11"/>
        <v>10</v>
      </c>
      <c r="B17" s="10">
        <f t="shared" si="12"/>
        <v>8.599458953114592</v>
      </c>
      <c r="C17" s="10">
        <f t="shared" si="13"/>
        <v>8.36564798035618</v>
      </c>
      <c r="D17" s="10">
        <f t="shared" si="0"/>
        <v>0.3039473684210527</v>
      </c>
      <c r="E17" s="10">
        <f t="shared" si="1"/>
        <v>3.6842105263157894</v>
      </c>
      <c r="F17" s="10">
        <f t="shared" si="2"/>
        <v>36.842105263157904</v>
      </c>
      <c r="G17" s="10">
        <f t="shared" si="14"/>
        <v>4.61130105837775</v>
      </c>
      <c r="H17" s="10">
        <f t="shared" si="15"/>
        <v>38.14262513655642</v>
      </c>
      <c r="I17" s="10">
        <f t="shared" si="3"/>
        <v>3.3834544086225034</v>
      </c>
      <c r="J17" s="10">
        <f t="shared" si="16"/>
        <v>-17.26141857536777</v>
      </c>
      <c r="K17" s="11">
        <f t="shared" si="17"/>
      </c>
      <c r="L17" s="10">
        <f t="shared" si="4"/>
        <v>3.5</v>
      </c>
      <c r="M17" s="10">
        <f t="shared" si="5"/>
        <v>0</v>
      </c>
      <c r="N17" s="10">
        <f t="shared" si="18"/>
        <v>4.377490085619337</v>
      </c>
      <c r="O17" s="10">
        <f t="shared" si="6"/>
        <v>3.211900056271874</v>
      </c>
      <c r="P17" s="10">
        <f t="shared" si="19"/>
        <v>-16.14781922442023</v>
      </c>
      <c r="Q17" s="11">
        <f t="shared" si="7"/>
      </c>
      <c r="R17" s="10">
        <f t="shared" si="20"/>
        <v>-0.23381097275841256</v>
      </c>
      <c r="S17" s="10">
        <f t="shared" si="8"/>
        <v>-0.16967220696913268</v>
      </c>
      <c r="T17" s="10">
        <f t="shared" si="9"/>
        <v>1.1139689028988835</v>
      </c>
      <c r="U17" s="11">
        <f>IF(AND(T16&lt;0,T17&gt;0),#REF!,"")</f>
      </c>
      <c r="V17" s="71">
        <f t="shared" si="10"/>
        <v>69.08359307385291</v>
      </c>
    </row>
    <row r="18" spans="1:22" s="10" customFormat="1" ht="12.75">
      <c r="A18" s="11">
        <f t="shared" si="11"/>
        <v>11</v>
      </c>
      <c r="B18" s="10">
        <f t="shared" si="12"/>
        <v>8.85744272170803</v>
      </c>
      <c r="C18" s="10">
        <f t="shared" si="13"/>
        <v>8.532960939963303</v>
      </c>
      <c r="D18" s="10">
        <f t="shared" si="0"/>
        <v>1.8421052631578954</v>
      </c>
      <c r="E18" s="10">
        <f t="shared" si="1"/>
        <v>3.6842105263157894</v>
      </c>
      <c r="F18" s="10">
        <f t="shared" si="2"/>
        <v>33.15789473684212</v>
      </c>
      <c r="G18" s="10">
        <f t="shared" si="14"/>
        <v>3.331126932234344</v>
      </c>
      <c r="H18" s="10">
        <f t="shared" si="15"/>
        <v>41.47375206879076</v>
      </c>
      <c r="I18" s="10">
        <f t="shared" si="3"/>
        <v>2.361498553116244</v>
      </c>
      <c r="J18" s="10">
        <f t="shared" si="16"/>
        <v>-14.899920022251527</v>
      </c>
      <c r="K18" s="11">
        <f t="shared" si="17"/>
      </c>
      <c r="L18" s="10">
        <f t="shared" si="4"/>
        <v>3.5</v>
      </c>
      <c r="M18" s="10">
        <f t="shared" si="5"/>
        <v>0</v>
      </c>
      <c r="N18" s="10">
        <f t="shared" si="18"/>
        <v>3.006645150489618</v>
      </c>
      <c r="O18" s="10">
        <f t="shared" si="6"/>
        <v>2.1314673133313393</v>
      </c>
      <c r="P18" s="10">
        <f t="shared" si="19"/>
        <v>-14.01635191108889</v>
      </c>
      <c r="Q18" s="11">
        <f t="shared" si="7"/>
      </c>
      <c r="R18" s="10">
        <f t="shared" si="20"/>
        <v>-0.3244817817447263</v>
      </c>
      <c r="S18" s="10">
        <f t="shared" si="8"/>
        <v>-0.22722884004145147</v>
      </c>
      <c r="T18" s="10">
        <f t="shared" si="9"/>
        <v>0.886740062857432</v>
      </c>
      <c r="U18" s="11">
        <f>IF(AND(T17&lt;0,T18&gt;0),#REF!,"")</f>
      </c>
      <c r="V18" s="71">
        <f t="shared" si="10"/>
        <v>66.74743292159701</v>
      </c>
    </row>
    <row r="19" spans="1:22" s="10" customFormat="1" ht="12.75">
      <c r="A19" s="11">
        <f t="shared" si="11"/>
        <v>12</v>
      </c>
      <c r="B19" s="10">
        <f t="shared" si="12"/>
        <v>9.12316600335927</v>
      </c>
      <c r="C19" s="10">
        <f t="shared" si="13"/>
        <v>8.703620158762568</v>
      </c>
      <c r="D19" s="10">
        <f t="shared" si="0"/>
        <v>1.657894736842106</v>
      </c>
      <c r="E19" s="10">
        <f t="shared" si="1"/>
        <v>3.6842105263157894</v>
      </c>
      <c r="F19" s="10">
        <f t="shared" si="2"/>
        <v>29.47368421052633</v>
      </c>
      <c r="G19" s="10">
        <f t="shared" si="14"/>
        <v>3.781060740201374</v>
      </c>
      <c r="H19" s="10">
        <f t="shared" si="15"/>
        <v>45.254812808992135</v>
      </c>
      <c r="I19" s="10">
        <f t="shared" si="3"/>
        <v>2.5898213473508704</v>
      </c>
      <c r="J19" s="10">
        <f t="shared" si="16"/>
        <v>-12.310098674900656</v>
      </c>
      <c r="K19" s="11">
        <f t="shared" si="17"/>
      </c>
      <c r="L19" s="10">
        <f t="shared" si="4"/>
        <v>3.5</v>
      </c>
      <c r="M19" s="10">
        <f t="shared" si="5"/>
        <v>0</v>
      </c>
      <c r="N19" s="10">
        <f t="shared" si="18"/>
        <v>3.3615148956046728</v>
      </c>
      <c r="O19" s="10">
        <f t="shared" si="6"/>
        <v>2.3024552193814425</v>
      </c>
      <c r="P19" s="10">
        <f t="shared" si="19"/>
        <v>-11.713896691707447</v>
      </c>
      <c r="Q19" s="11">
        <f t="shared" si="7"/>
      </c>
      <c r="R19" s="10">
        <f t="shared" si="20"/>
        <v>-0.4195458445967013</v>
      </c>
      <c r="S19" s="10">
        <f t="shared" si="8"/>
        <v>-0.2835175000298687</v>
      </c>
      <c r="T19" s="10">
        <f t="shared" si="9"/>
        <v>0.6032225628275634</v>
      </c>
      <c r="U19" s="11">
        <f>IF(AND(T18&lt;0,T19&gt;0),#REF!,"")</f>
      </c>
      <c r="V19" s="71">
        <f t="shared" si="10"/>
        <v>64.49027335420001</v>
      </c>
    </row>
    <row r="20" spans="1:22" s="10" customFormat="1" ht="12.75">
      <c r="A20" s="11">
        <f t="shared" si="11"/>
        <v>13</v>
      </c>
      <c r="B20" s="10">
        <f t="shared" si="12"/>
        <v>9.396860983460048</v>
      </c>
      <c r="C20" s="10">
        <f t="shared" si="13"/>
        <v>8.87769256193782</v>
      </c>
      <c r="D20" s="10">
        <f t="shared" si="0"/>
        <v>1.4736842105263166</v>
      </c>
      <c r="E20" s="10">
        <f t="shared" si="1"/>
        <v>3.6842105263157894</v>
      </c>
      <c r="F20" s="10">
        <f t="shared" si="2"/>
        <v>25.78947368421054</v>
      </c>
      <c r="G20" s="10">
        <f t="shared" si="14"/>
        <v>4.238966246617942</v>
      </c>
      <c r="H20" s="10">
        <f t="shared" si="15"/>
        <v>49.49377905561008</v>
      </c>
      <c r="I20" s="10">
        <f t="shared" si="3"/>
        <v>2.8052770640231106</v>
      </c>
      <c r="J20" s="10">
        <f t="shared" si="16"/>
        <v>-9.504821610877546</v>
      </c>
      <c r="K20" s="11">
        <f t="shared" si="17"/>
      </c>
      <c r="L20" s="10">
        <f t="shared" si="4"/>
        <v>3.5</v>
      </c>
      <c r="M20" s="10">
        <f t="shared" si="5"/>
        <v>0</v>
      </c>
      <c r="N20" s="10">
        <f t="shared" si="18"/>
        <v>3.719797825095714</v>
      </c>
      <c r="O20" s="10">
        <f t="shared" si="6"/>
        <v>2.46170007366057</v>
      </c>
      <c r="P20" s="10">
        <f t="shared" si="19"/>
        <v>-9.252196618046877</v>
      </c>
      <c r="Q20" s="11">
        <f t="shared" si="7"/>
      </c>
      <c r="R20" s="10">
        <f t="shared" si="20"/>
        <v>-0.5191684215222274</v>
      </c>
      <c r="S20" s="10">
        <f t="shared" si="8"/>
        <v>-0.3385602983321661</v>
      </c>
      <c r="T20" s="10">
        <f t="shared" si="9"/>
        <v>0.26466226449539726</v>
      </c>
      <c r="U20" s="11">
        <f>IF(AND(T19&lt;0,T20&gt;0),#REF!,"")</f>
      </c>
      <c r="V20" s="71">
        <f t="shared" si="10"/>
        <v>62.30944285429953</v>
      </c>
    </row>
    <row r="21" spans="1:22" s="10" customFormat="1" ht="12.75">
      <c r="A21" s="11">
        <f t="shared" si="11"/>
        <v>14</v>
      </c>
      <c r="B21" s="10">
        <f t="shared" si="12"/>
        <v>9.678766812963849</v>
      </c>
      <c r="C21" s="10">
        <f t="shared" si="13"/>
        <v>9.055246413176578</v>
      </c>
      <c r="D21" s="10">
        <f t="shared" si="0"/>
        <v>1.2894736842105272</v>
      </c>
      <c r="E21" s="10">
        <f t="shared" si="1"/>
        <v>3.6842105263157894</v>
      </c>
      <c r="F21" s="10">
        <f t="shared" si="2"/>
        <v>22.105263157894754</v>
      </c>
      <c r="G21" s="10">
        <f t="shared" si="14"/>
        <v>4.705082602437532</v>
      </c>
      <c r="H21" s="10">
        <f t="shared" si="15"/>
        <v>54.198861658047605</v>
      </c>
      <c r="I21" s="10">
        <f t="shared" si="3"/>
        <v>3.0084493559071586</v>
      </c>
      <c r="J21" s="10">
        <f t="shared" si="16"/>
        <v>-6.496372254970387</v>
      </c>
      <c r="K21" s="11">
        <f t="shared" si="17"/>
      </c>
      <c r="L21" s="10">
        <f t="shared" si="4"/>
        <v>3.5</v>
      </c>
      <c r="M21" s="10">
        <f t="shared" si="5"/>
        <v>0</v>
      </c>
      <c r="N21" s="10">
        <f t="shared" si="18"/>
        <v>4.081562202650261</v>
      </c>
      <c r="O21" s="10">
        <f t="shared" si="6"/>
        <v>2.60976782284264</v>
      </c>
      <c r="P21" s="10">
        <f t="shared" si="19"/>
        <v>-6.642428795204237</v>
      </c>
      <c r="Q21" s="11">
        <f t="shared" si="7"/>
      </c>
      <c r="R21" s="10">
        <f t="shared" si="20"/>
        <v>-0.6235203997872709</v>
      </c>
      <c r="S21" s="10">
        <f t="shared" si="8"/>
        <v>-0.3923789858616476</v>
      </c>
      <c r="T21" s="10">
        <f t="shared" si="9"/>
        <v>-0.12771672136625034</v>
      </c>
      <c r="U21" s="11">
        <f>IF(AND(T20&lt;0,T21&gt;0),#REF!,"")</f>
      </c>
      <c r="V21" s="71">
        <f t="shared" si="10"/>
        <v>60.20236024570005</v>
      </c>
    </row>
    <row r="22" spans="1:22" s="10" customFormat="1" ht="12.75">
      <c r="A22" s="11">
        <f t="shared" si="11"/>
        <v>15</v>
      </c>
      <c r="B22" s="10">
        <f t="shared" si="12"/>
        <v>9.969129817352764</v>
      </c>
      <c r="C22" s="10">
        <f t="shared" si="13"/>
        <v>9.236351341440109</v>
      </c>
      <c r="D22" s="10">
        <f t="shared" si="0"/>
        <v>1.1052631578947378</v>
      </c>
      <c r="E22" s="10">
        <f t="shared" si="1"/>
        <v>3.6842105263157894</v>
      </c>
      <c r="F22" s="10">
        <f t="shared" si="2"/>
        <v>18.421052631578966</v>
      </c>
      <c r="G22" s="10">
        <f t="shared" si="14"/>
        <v>5.179656133142236</v>
      </c>
      <c r="H22" s="10">
        <f t="shared" si="15"/>
        <v>59.37851779118984</v>
      </c>
      <c r="I22" s="10">
        <f t="shared" si="3"/>
        <v>3.19989723895016</v>
      </c>
      <c r="J22" s="10">
        <f t="shared" si="16"/>
        <v>-3.296475016020227</v>
      </c>
      <c r="K22" s="11">
        <f t="shared" si="17"/>
      </c>
      <c r="L22" s="10">
        <f t="shared" si="4"/>
        <v>3.5</v>
      </c>
      <c r="M22" s="10">
        <f t="shared" si="5"/>
        <v>0</v>
      </c>
      <c r="N22" s="10">
        <f t="shared" si="18"/>
        <v>4.446877657229582</v>
      </c>
      <c r="O22" s="10">
        <f t="shared" si="6"/>
        <v>2.7472000402246284</v>
      </c>
      <c r="P22" s="10">
        <f t="shared" si="19"/>
        <v>-3.895228754979609</v>
      </c>
      <c r="Q22" s="11">
        <f t="shared" si="7"/>
      </c>
      <c r="R22" s="10">
        <f t="shared" si="20"/>
        <v>-0.7327784759126548</v>
      </c>
      <c r="S22" s="10">
        <f t="shared" si="8"/>
        <v>-0.4449949587874267</v>
      </c>
      <c r="T22" s="10">
        <f t="shared" si="9"/>
        <v>-0.572711680153677</v>
      </c>
      <c r="U22" s="11">
        <f>IF(AND(T21&lt;0,T22&gt;0),#REF!,"")</f>
      </c>
      <c r="V22" s="71">
        <f t="shared" si="10"/>
        <v>58.166531638357526</v>
      </c>
    </row>
    <row r="23" spans="1:22" s="10" customFormat="1" ht="12.75">
      <c r="A23" s="11">
        <f t="shared" si="11"/>
        <v>16</v>
      </c>
      <c r="B23" s="10">
        <f t="shared" si="12"/>
        <v>10.268203711873348</v>
      </c>
      <c r="C23" s="10">
        <f t="shared" si="13"/>
        <v>9.421078368268912</v>
      </c>
      <c r="D23" s="10">
        <f t="shared" si="0"/>
        <v>0.9210526315789483</v>
      </c>
      <c r="E23" s="10">
        <f t="shared" si="1"/>
        <v>3.6842105263157894</v>
      </c>
      <c r="F23" s="10">
        <f t="shared" si="2"/>
        <v>14.736842105263177</v>
      </c>
      <c r="G23" s="10">
        <f t="shared" si="14"/>
        <v>5.6629405539786095</v>
      </c>
      <c r="H23" s="10">
        <f t="shared" si="15"/>
        <v>65.04145834516845</v>
      </c>
      <c r="I23" s="10">
        <f t="shared" si="3"/>
        <v>3.3801560904997876</v>
      </c>
      <c r="J23" s="10">
        <f t="shared" si="16"/>
        <v>0.08368107447956064</v>
      </c>
      <c r="K23" s="11">
        <f t="shared" si="17"/>
        <v>16</v>
      </c>
      <c r="L23" s="10">
        <f t="shared" si="4"/>
        <v>3.5</v>
      </c>
      <c r="M23" s="10">
        <f t="shared" si="5"/>
        <v>0</v>
      </c>
      <c r="N23" s="10">
        <f t="shared" si="18"/>
        <v>4.815815210374174</v>
      </c>
      <c r="O23" s="10">
        <f t="shared" si="6"/>
        <v>2.874514920102986</v>
      </c>
      <c r="P23" s="10">
        <f t="shared" si="19"/>
        <v>-1.0207138348766231</v>
      </c>
      <c r="Q23" s="11">
        <f t="shared" si="7"/>
      </c>
      <c r="R23" s="10">
        <f t="shared" si="20"/>
        <v>-0.8471253436044357</v>
      </c>
      <c r="S23" s="10">
        <f t="shared" si="8"/>
        <v>-0.4964292641840981</v>
      </c>
      <c r="T23" s="10">
        <f t="shared" si="9"/>
        <v>-1.069140944337775</v>
      </c>
      <c r="U23" s="11">
        <f>IF(AND(T22&lt;0,T23&gt;0),#REF!,"")</f>
      </c>
      <c r="V23" s="71">
        <f t="shared" si="10"/>
        <v>56.19954747667394</v>
      </c>
    </row>
    <row r="24" spans="1:22" s="10" customFormat="1" ht="12.75">
      <c r="A24" s="11">
        <f t="shared" si="11"/>
        <v>17</v>
      </c>
      <c r="B24" s="10">
        <f t="shared" si="12"/>
        <v>10.576249823229547</v>
      </c>
      <c r="C24" s="10">
        <f t="shared" si="13"/>
        <v>9.60949993563429</v>
      </c>
      <c r="D24" s="10">
        <f t="shared" si="0"/>
        <v>0.7368421052631589</v>
      </c>
      <c r="E24" s="10">
        <f t="shared" si="1"/>
        <v>3.6842105263157894</v>
      </c>
      <c r="F24" s="10">
        <f t="shared" si="2"/>
        <v>11.052631578947388</v>
      </c>
      <c r="G24" s="10">
        <f t="shared" si="14"/>
        <v>6.155197191650599</v>
      </c>
      <c r="H24" s="10">
        <f t="shared" si="15"/>
        <v>71.19665553681905</v>
      </c>
      <c r="I24" s="10">
        <f t="shared" si="3"/>
        <v>3.5497386081951583</v>
      </c>
      <c r="J24" s="10">
        <f t="shared" si="16"/>
        <v>3.633419682674719</v>
      </c>
      <c r="K24" s="11">
        <f t="shared" si="17"/>
      </c>
      <c r="L24" s="10">
        <f t="shared" si="4"/>
        <v>3.5</v>
      </c>
      <c r="M24" s="10">
        <f t="shared" si="5"/>
        <v>0</v>
      </c>
      <c r="N24" s="10">
        <f t="shared" si="18"/>
        <v>5.188447304055341</v>
      </c>
      <c r="O24" s="10">
        <f t="shared" si="6"/>
        <v>2.9922082328693667</v>
      </c>
      <c r="P24" s="10">
        <f t="shared" si="19"/>
        <v>1.9714943979927435</v>
      </c>
      <c r="Q24" s="11">
        <f t="shared" si="7"/>
        <v>17</v>
      </c>
      <c r="R24" s="10">
        <f t="shared" si="20"/>
        <v>-0.9667498875952578</v>
      </c>
      <c r="S24" s="10">
        <f t="shared" si="8"/>
        <v>-0.5467026055922314</v>
      </c>
      <c r="T24" s="10">
        <f t="shared" si="9"/>
        <v>-1.6158435499300063</v>
      </c>
      <c r="U24" s="11">
        <f>IF(AND(T23&lt;0,T24&gt;0),#REF!,"")</f>
      </c>
      <c r="V24" s="71">
        <f t="shared" si="10"/>
        <v>54.29907968760769</v>
      </c>
    </row>
    <row r="25" spans="1:22" s="10" customFormat="1" ht="12.75">
      <c r="A25" s="11">
        <f t="shared" si="11"/>
        <v>18</v>
      </c>
      <c r="B25" s="10">
        <f t="shared" si="12"/>
        <v>10.893537317926434</v>
      </c>
      <c r="C25" s="10">
        <f t="shared" si="13"/>
        <v>9.801689934346976</v>
      </c>
      <c r="D25" s="10">
        <f t="shared" si="0"/>
        <v>0.5526315789473694</v>
      </c>
      <c r="E25" s="10">
        <f t="shared" si="1"/>
        <v>3.6842105263157894</v>
      </c>
      <c r="F25" s="10">
        <f t="shared" si="2"/>
        <v>7.368421052631598</v>
      </c>
      <c r="G25" s="10">
        <f t="shared" si="14"/>
        <v>6.656695212663275</v>
      </c>
      <c r="H25" s="10">
        <f t="shared" si="15"/>
        <v>77.85335074948233</v>
      </c>
      <c r="I25" s="10">
        <f t="shared" si="3"/>
        <v>3.7091357310400337</v>
      </c>
      <c r="J25" s="10">
        <f t="shared" si="16"/>
        <v>7.342555413714752</v>
      </c>
      <c r="K25" s="11">
        <f t="shared" si="17"/>
      </c>
      <c r="L25" s="10">
        <f t="shared" si="4"/>
        <v>3.5</v>
      </c>
      <c r="M25" s="10">
        <f t="shared" si="5"/>
        <v>0</v>
      </c>
      <c r="N25" s="10">
        <f t="shared" si="18"/>
        <v>5.564847829083817</v>
      </c>
      <c r="O25" s="10">
        <f t="shared" si="6"/>
        <v>3.1007542423438057</v>
      </c>
      <c r="P25" s="10">
        <f t="shared" si="19"/>
        <v>5.072248640336549</v>
      </c>
      <c r="Q25" s="11">
        <f t="shared" si="7"/>
      </c>
      <c r="R25" s="10">
        <f t="shared" si="20"/>
        <v>-1.0918473835794575</v>
      </c>
      <c r="S25" s="10">
        <f t="shared" si="8"/>
        <v>-0.5958353484910788</v>
      </c>
      <c r="T25" s="10">
        <f t="shared" si="9"/>
        <v>-2.211678898421085</v>
      </c>
      <c r="U25" s="11">
        <f>IF(AND(T24&lt;0,T25&gt;0),#REF!,"")</f>
      </c>
      <c r="V25" s="71">
        <f t="shared" si="10"/>
        <v>52.46287892522482</v>
      </c>
    </row>
    <row r="26" spans="1:22" s="10" customFormat="1" ht="12.75">
      <c r="A26" s="11">
        <f t="shared" si="11"/>
        <v>19</v>
      </c>
      <c r="B26" s="10">
        <f t="shared" si="12"/>
        <v>11.220343437464226</v>
      </c>
      <c r="C26" s="10">
        <f t="shared" si="13"/>
        <v>9.997723733033917</v>
      </c>
      <c r="D26" s="10">
        <f t="shared" si="0"/>
        <v>0.3684210526315799</v>
      </c>
      <c r="E26" s="10">
        <f t="shared" si="1"/>
        <v>3.6842105263157894</v>
      </c>
      <c r="F26" s="10">
        <f t="shared" si="2"/>
        <v>3.684210526315809</v>
      </c>
      <c r="G26" s="10">
        <f t="shared" si="14"/>
        <v>7.167711858516856</v>
      </c>
      <c r="H26" s="10">
        <f t="shared" si="15"/>
        <v>85.02106260799918</v>
      </c>
      <c r="I26" s="10">
        <f t="shared" si="3"/>
        <v>3.8588175241194502</v>
      </c>
      <c r="J26" s="10">
        <f t="shared" si="16"/>
        <v>11.201372937834202</v>
      </c>
      <c r="K26" s="11">
        <f t="shared" si="17"/>
      </c>
      <c r="L26" s="10">
        <f t="shared" si="4"/>
        <v>3.5</v>
      </c>
      <c r="M26" s="10">
        <f t="shared" si="5"/>
        <v>0</v>
      </c>
      <c r="N26" s="10">
        <f t="shared" si="18"/>
        <v>5.945092154086547</v>
      </c>
      <c r="O26" s="10">
        <f t="shared" si="6"/>
        <v>3.200606586805678</v>
      </c>
      <c r="P26" s="10">
        <f t="shared" si="19"/>
        <v>8.272855227142227</v>
      </c>
      <c r="Q26" s="11">
        <f t="shared" si="7"/>
      </c>
      <c r="R26" s="10">
        <f t="shared" si="20"/>
        <v>-1.2226197044303095</v>
      </c>
      <c r="S26" s="10">
        <f t="shared" si="8"/>
        <v>-0.6438475256848839</v>
      </c>
      <c r="T26" s="10">
        <f t="shared" si="9"/>
        <v>-2.8555264241059692</v>
      </c>
      <c r="U26" s="11">
        <f>IF(AND(T25&lt;0,T26&gt;0),#REF!,"")</f>
      </c>
      <c r="V26" s="71">
        <f t="shared" si="10"/>
        <v>50.688771908429786</v>
      </c>
    </row>
    <row r="27" spans="1:22" s="10" customFormat="1" ht="12.75">
      <c r="A27" s="11">
        <f t="shared" si="11"/>
        <v>20</v>
      </c>
      <c r="B27" s="10">
        <f t="shared" si="12"/>
        <v>11.556953740588153</v>
      </c>
      <c r="C27" s="10">
        <f t="shared" si="13"/>
        <v>10.197678207694596</v>
      </c>
      <c r="D27" s="10">
        <f t="shared" si="0"/>
        <v>0.18421052631579046</v>
      </c>
      <c r="E27" s="10">
        <f t="shared" si="1"/>
        <v>3.6842105263157894</v>
      </c>
      <c r="F27" s="10">
        <f t="shared" si="2"/>
        <v>1.9539925233402755E-14</v>
      </c>
      <c r="G27" s="10">
        <f t="shared" si="14"/>
        <v>7.688532687956572</v>
      </c>
      <c r="H27" s="10">
        <f t="shared" si="15"/>
        <v>92.70959529595575</v>
      </c>
      <c r="I27" s="10">
        <f t="shared" si="3"/>
        <v>3.999234028365369</v>
      </c>
      <c r="J27" s="10">
        <f t="shared" si="16"/>
        <v>15.200606966199572</v>
      </c>
      <c r="K27" s="11">
        <f t="shared" si="17"/>
      </c>
      <c r="L27" s="10">
        <f t="shared" si="4"/>
        <v>3.5</v>
      </c>
      <c r="M27" s="10">
        <f t="shared" si="5"/>
        <v>0</v>
      </c>
      <c r="N27" s="10">
        <f t="shared" si="18"/>
        <v>6.329257155063015</v>
      </c>
      <c r="O27" s="10">
        <f t="shared" si="6"/>
        <v>3.2921991251272638</v>
      </c>
      <c r="P27" s="10">
        <f t="shared" si="19"/>
        <v>11.56505435226949</v>
      </c>
      <c r="Q27" s="11">
        <f t="shared" si="7"/>
      </c>
      <c r="R27" s="10">
        <f t="shared" si="20"/>
        <v>-1.359275532893557</v>
      </c>
      <c r="S27" s="10">
        <f t="shared" si="8"/>
        <v>-0.6907588426041474</v>
      </c>
      <c r="T27" s="10">
        <f t="shared" si="9"/>
        <v>-3.546285266710117</v>
      </c>
      <c r="U27" s="11">
        <f>IF(AND(T26&lt;0,T27&gt;0),#REF!,"")</f>
      </c>
      <c r="V27" s="71">
        <f t="shared" si="10"/>
        <v>48.97465884872443</v>
      </c>
    </row>
    <row r="28" spans="1:22" s="10" customFormat="1" ht="12.75">
      <c r="A28" s="11">
        <f t="shared" si="11"/>
        <v>21</v>
      </c>
      <c r="B28" s="10">
        <f t="shared" si="12"/>
        <v>11.903662352805798</v>
      </c>
      <c r="C28" s="10">
        <f t="shared" si="13"/>
        <v>10.401631771848487</v>
      </c>
      <c r="D28" s="10">
        <f t="shared" si="0"/>
        <v>9.769962616701378E-16</v>
      </c>
      <c r="E28" s="10">
        <f t="shared" si="1"/>
        <v>0</v>
      </c>
      <c r="F28" s="10">
        <f t="shared" si="2"/>
        <v>1.9539925233402755E-14</v>
      </c>
      <c r="G28" s="10">
        <f t="shared" si="14"/>
        <v>11.903662352805796</v>
      </c>
      <c r="H28" s="10">
        <f t="shared" si="15"/>
        <v>104.61325764876155</v>
      </c>
      <c r="I28" s="10">
        <f t="shared" si="3"/>
        <v>5.982374598313826</v>
      </c>
      <c r="J28" s="10">
        <f t="shared" si="16"/>
        <v>21.182981564513398</v>
      </c>
      <c r="K28" s="11">
        <f t="shared" si="17"/>
      </c>
      <c r="L28" s="10">
        <f t="shared" si="4"/>
        <v>0</v>
      </c>
      <c r="M28" s="10">
        <f t="shared" si="5"/>
        <v>0</v>
      </c>
      <c r="N28" s="10">
        <f t="shared" si="18"/>
        <v>10.401631771848486</v>
      </c>
      <c r="O28" s="10">
        <f t="shared" si="6"/>
        <v>5.2275052709516</v>
      </c>
      <c r="P28" s="10">
        <f t="shared" si="19"/>
        <v>16.792559623221088</v>
      </c>
      <c r="Q28" s="11">
        <f t="shared" si="7"/>
      </c>
      <c r="R28" s="10">
        <f t="shared" si="20"/>
        <v>-1.5020305809573102</v>
      </c>
      <c r="S28" s="10">
        <f t="shared" si="8"/>
        <v>-0.7365886825231905</v>
      </c>
      <c r="T28" s="10">
        <f t="shared" si="9"/>
        <v>-4.282873949233307</v>
      </c>
      <c r="U28" s="11">
        <f>IF(AND(T27&lt;0,T28&gt;0),#REF!,"")</f>
      </c>
      <c r="V28" s="71">
        <f t="shared" si="10"/>
        <v>47.318510964951145</v>
      </c>
    </row>
    <row r="29" spans="1:22" ht="12.75">
      <c r="A29" s="11">
        <f t="shared" si="11"/>
        <v>22</v>
      </c>
      <c r="B29" s="10">
        <f t="shared" si="12"/>
        <v>12.260772223389973</v>
      </c>
      <c r="C29" s="10">
        <f t="shared" si="13"/>
        <v>10.609664407285457</v>
      </c>
      <c r="D29" s="10">
        <f t="shared" si="0"/>
        <v>9.769962616701378E-16</v>
      </c>
      <c r="E29" s="10">
        <f t="shared" si="1"/>
        <v>0</v>
      </c>
      <c r="F29" s="10">
        <f t="shared" si="2"/>
        <v>1.9539925233402755E-14</v>
      </c>
      <c r="G29" s="10">
        <f t="shared" si="14"/>
        <v>12.26077222338997</v>
      </c>
      <c r="H29" s="10">
        <f t="shared" si="15"/>
        <v>116.87402987215151</v>
      </c>
      <c r="I29" s="10">
        <f t="shared" si="3"/>
        <v>5.953474237935501</v>
      </c>
      <c r="J29" s="10">
        <f t="shared" si="16"/>
        <v>27.1364558024489</v>
      </c>
      <c r="K29" s="11">
        <f t="shared" si="17"/>
      </c>
      <c r="L29" s="10">
        <f t="shared" si="4"/>
        <v>0</v>
      </c>
      <c r="M29" s="10">
        <f t="shared" si="5"/>
        <v>0</v>
      </c>
      <c r="N29" s="10">
        <f t="shared" si="18"/>
        <v>10.609664407285456</v>
      </c>
      <c r="O29" s="10">
        <f t="shared" si="6"/>
        <v>5.15174432499578</v>
      </c>
      <c r="P29" s="10">
        <f t="shared" si="19"/>
        <v>21.94430394821687</v>
      </c>
      <c r="Q29" s="11">
        <f t="shared" si="7"/>
      </c>
      <c r="R29" s="10">
        <f t="shared" si="20"/>
        <v>-1.6511078161045152</v>
      </c>
      <c r="S29" s="10">
        <f t="shared" si="8"/>
        <v>-0.7813561116953299</v>
      </c>
      <c r="T29" s="10">
        <f t="shared" si="9"/>
        <v>-5.0642300609286375</v>
      </c>
      <c r="U29" s="11">
        <f>IF(AND(T28&lt;0,T29&gt;0),#REF!,"")</f>
      </c>
      <c r="V29" s="71">
        <f t="shared" si="10"/>
        <v>45.71836808207841</v>
      </c>
    </row>
    <row r="30" spans="1:22" ht="12.75">
      <c r="A30" s="11">
        <f t="shared" si="11"/>
        <v>23</v>
      </c>
      <c r="B30" s="10">
        <f t="shared" si="12"/>
        <v>12.628595390091672</v>
      </c>
      <c r="C30" s="10">
        <f t="shared" si="13"/>
        <v>10.821857695431166</v>
      </c>
      <c r="D30" s="10">
        <f t="shared" si="0"/>
        <v>9.769962616701378E-16</v>
      </c>
      <c r="E30" s="10">
        <f t="shared" si="1"/>
        <v>0</v>
      </c>
      <c r="F30" s="10">
        <f t="shared" si="2"/>
        <v>1.9539925233402755E-14</v>
      </c>
      <c r="G30" s="10">
        <f t="shared" si="14"/>
        <v>12.62859539009167</v>
      </c>
      <c r="H30" s="10">
        <f t="shared" si="15"/>
        <v>129.50262526224319</v>
      </c>
      <c r="I30" s="10">
        <f t="shared" si="3"/>
        <v>5.924713492824701</v>
      </c>
      <c r="J30" s="10">
        <f t="shared" si="16"/>
        <v>33.0611692952736</v>
      </c>
      <c r="K30" s="11">
        <f t="shared" si="17"/>
      </c>
      <c r="L30" s="10">
        <f t="shared" si="4"/>
        <v>0</v>
      </c>
      <c r="M30" s="10">
        <f t="shared" si="5"/>
        <v>0</v>
      </c>
      <c r="N30" s="10">
        <f t="shared" si="18"/>
        <v>10.821857695431165</v>
      </c>
      <c r="O30" s="10">
        <f t="shared" si="6"/>
        <v>5.077081363763957</v>
      </c>
      <c r="P30" s="10">
        <f t="shared" si="19"/>
        <v>27.02138531198083</v>
      </c>
      <c r="Q30" s="11">
        <f t="shared" si="7"/>
      </c>
      <c r="R30" s="10">
        <f t="shared" si="20"/>
        <v>-1.8067376946605052</v>
      </c>
      <c r="S30" s="10">
        <f t="shared" si="8"/>
        <v>-0.8250798844069653</v>
      </c>
      <c r="T30" s="10">
        <f t="shared" si="9"/>
        <v>-5.889309945335603</v>
      </c>
      <c r="U30" s="11">
        <f>IF(AND(T29&lt;0,T30&gt;0),#REF!,"")</f>
      </c>
      <c r="V30" s="71">
        <f t="shared" si="10"/>
        <v>44.17233631118687</v>
      </c>
    </row>
    <row r="31" spans="1:22" ht="12.75">
      <c r="A31" s="11">
        <f t="shared" si="11"/>
        <v>24</v>
      </c>
      <c r="B31" s="10">
        <f t="shared" si="12"/>
        <v>13.007453251794422</v>
      </c>
      <c r="C31" s="10">
        <f t="shared" si="13"/>
        <v>11.03829484933979</v>
      </c>
      <c r="D31" s="10">
        <f t="shared" si="0"/>
        <v>9.769962616701378E-16</v>
      </c>
      <c r="E31" s="10">
        <f t="shared" si="1"/>
        <v>0</v>
      </c>
      <c r="F31" s="10">
        <f t="shared" si="2"/>
        <v>1.9539925233402755E-14</v>
      </c>
      <c r="G31" s="10">
        <f t="shared" si="14"/>
        <v>13.00745325179442</v>
      </c>
      <c r="H31" s="10">
        <f t="shared" si="15"/>
        <v>142.51007851403762</v>
      </c>
      <c r="I31" s="10">
        <f t="shared" si="3"/>
        <v>5.896091688511538</v>
      </c>
      <c r="J31" s="10">
        <f t="shared" si="16"/>
        <v>38.95726098378514</v>
      </c>
      <c r="K31" s="11">
        <f t="shared" si="17"/>
      </c>
      <c r="L31" s="10">
        <f t="shared" si="4"/>
        <v>0</v>
      </c>
      <c r="M31" s="10">
        <f t="shared" si="5"/>
        <v>0</v>
      </c>
      <c r="N31" s="10">
        <f t="shared" si="18"/>
        <v>11.038294849339788</v>
      </c>
      <c r="O31" s="10">
        <f t="shared" si="6"/>
        <v>5.003500474434045</v>
      </c>
      <c r="P31" s="10">
        <f t="shared" si="19"/>
        <v>32.02488578641487</v>
      </c>
      <c r="Q31" s="11">
        <f t="shared" si="7"/>
      </c>
      <c r="R31" s="10">
        <f t="shared" si="20"/>
        <v>-1.9691584024546316</v>
      </c>
      <c r="S31" s="10">
        <f t="shared" si="8"/>
        <v>-0.8677784479518532</v>
      </c>
      <c r="T31" s="10">
        <f t="shared" si="9"/>
        <v>-6.7570883932874555</v>
      </c>
      <c r="U31" s="11">
        <f>IF(AND(T30&lt;0,T31&gt;0),#REF!,"")</f>
      </c>
      <c r="V31" s="71">
        <f t="shared" si="10"/>
        <v>42.67858580791002</v>
      </c>
    </row>
    <row r="32" spans="1:22" ht="12.75">
      <c r="A32" s="11">
        <f t="shared" si="11"/>
        <v>25</v>
      </c>
      <c r="B32" s="10">
        <f t="shared" si="12"/>
        <v>13.397676849348255</v>
      </c>
      <c r="C32" s="10">
        <f t="shared" si="13"/>
        <v>11.259060746326586</v>
      </c>
      <c r="D32" s="10">
        <f t="shared" si="0"/>
        <v>9.769962616701378E-16</v>
      </c>
      <c r="E32" s="10">
        <f t="shared" si="1"/>
        <v>0</v>
      </c>
      <c r="F32" s="10">
        <f t="shared" si="2"/>
        <v>1.9539925233402755E-14</v>
      </c>
      <c r="G32" s="10">
        <f t="shared" si="14"/>
        <v>13.397676849348253</v>
      </c>
      <c r="H32" s="10">
        <f t="shared" si="15"/>
        <v>155.90775536338586</v>
      </c>
      <c r="I32" s="10">
        <f t="shared" si="3"/>
        <v>5.86760815378443</v>
      </c>
      <c r="J32" s="10">
        <f t="shared" si="16"/>
        <v>44.82486913756957</v>
      </c>
      <c r="K32" s="11">
        <f t="shared" si="17"/>
      </c>
      <c r="L32" s="10">
        <f t="shared" si="4"/>
        <v>0</v>
      </c>
      <c r="M32" s="10">
        <f t="shared" si="5"/>
        <v>0</v>
      </c>
      <c r="N32" s="10">
        <f t="shared" si="18"/>
        <v>11.259060746326584</v>
      </c>
      <c r="O32" s="10">
        <f t="shared" si="6"/>
        <v>4.9309859748045675</v>
      </c>
      <c r="P32" s="10">
        <f t="shared" si="19"/>
        <v>36.95587176121944</v>
      </c>
      <c r="Q32" s="11">
        <f t="shared" si="7"/>
      </c>
      <c r="R32" s="10">
        <f t="shared" si="20"/>
        <v>-2.1386161030216684</v>
      </c>
      <c r="S32" s="10">
        <f t="shared" si="8"/>
        <v>-0.9094699475268194</v>
      </c>
      <c r="T32" s="10">
        <f t="shared" si="9"/>
        <v>-7.666558340814275</v>
      </c>
      <c r="U32" s="11">
        <f>IF(AND(T31&lt;0,T32&gt;0),#REF!,"")</f>
      </c>
      <c r="V32" s="71">
        <f t="shared" si="10"/>
        <v>41.235348606676354</v>
      </c>
    </row>
    <row r="33" spans="1:22" ht="12.75">
      <c r="A33" s="11">
        <f t="shared" si="11"/>
        <v>26</v>
      </c>
      <c r="B33" s="10">
        <f t="shared" si="12"/>
        <v>13.799607154828703</v>
      </c>
      <c r="C33" s="10">
        <f t="shared" si="13"/>
        <v>11.484241961253119</v>
      </c>
      <c r="D33" s="10">
        <f t="shared" si="0"/>
        <v>9.769962616701378E-16</v>
      </c>
      <c r="E33" s="10">
        <f t="shared" si="1"/>
        <v>0</v>
      </c>
      <c r="F33" s="10">
        <f t="shared" si="2"/>
        <v>1.9539925233402755E-14</v>
      </c>
      <c r="G33" s="10">
        <f t="shared" si="14"/>
        <v>13.799607154828701</v>
      </c>
      <c r="H33" s="10">
        <f t="shared" si="15"/>
        <v>169.70736251821455</v>
      </c>
      <c r="I33" s="10">
        <f t="shared" si="3"/>
        <v>5.839262220674361</v>
      </c>
      <c r="J33" s="10">
        <f t="shared" si="16"/>
        <v>50.664131358243935</v>
      </c>
      <c r="K33" s="11">
        <f t="shared" si="17"/>
      </c>
      <c r="L33" s="10">
        <f t="shared" si="4"/>
        <v>0</v>
      </c>
      <c r="M33" s="10">
        <f t="shared" si="5"/>
        <v>0</v>
      </c>
      <c r="N33" s="10">
        <f t="shared" si="18"/>
        <v>11.484241961253117</v>
      </c>
      <c r="O33" s="10">
        <f t="shared" si="6"/>
        <v>4.859522409952328</v>
      </c>
      <c r="P33" s="10">
        <f t="shared" si="19"/>
        <v>41.81539417117177</v>
      </c>
      <c r="Q33" s="11">
        <f t="shared" si="7"/>
      </c>
      <c r="R33" s="10">
        <f t="shared" si="20"/>
        <v>-2.315365193575584</v>
      </c>
      <c r="S33" s="10">
        <f t="shared" si="8"/>
        <v>-0.9501722310501514</v>
      </c>
      <c r="T33" s="10">
        <f>T32+S33</f>
        <v>-8.616730571864426</v>
      </c>
      <c r="U33" s="11">
        <f>IF(AND(T32&lt;0,T33&gt;0),#REF!,"")</f>
      </c>
      <c r="V33" s="71">
        <f t="shared" si="10"/>
        <v>39.84091652818972</v>
      </c>
    </row>
    <row r="34" spans="1:22" ht="12.75">
      <c r="A34" s="11">
        <f t="shared" si="11"/>
        <v>27</v>
      </c>
      <c r="B34" s="10">
        <f t="shared" si="12"/>
        <v>14.213595369473564</v>
      </c>
      <c r="C34" s="10">
        <f t="shared" si="13"/>
        <v>11.713926800478182</v>
      </c>
      <c r="D34" s="10">
        <f t="shared" si="0"/>
        <v>9.769962616701378E-16</v>
      </c>
      <c r="E34" s="10">
        <f t="shared" si="1"/>
        <v>0</v>
      </c>
      <c r="F34" s="10">
        <f t="shared" si="2"/>
        <v>1.9539925233402755E-14</v>
      </c>
      <c r="G34" s="10">
        <f t="shared" si="14"/>
        <v>14.213595369473563</v>
      </c>
      <c r="H34" s="10">
        <f t="shared" si="15"/>
        <v>183.9209578876881</v>
      </c>
      <c r="I34" s="10">
        <f t="shared" si="3"/>
        <v>5.81105322443922</v>
      </c>
      <c r="J34" s="10">
        <f t="shared" si="16"/>
        <v>56.475184582683156</v>
      </c>
      <c r="K34" s="11">
        <f t="shared" si="17"/>
      </c>
      <c r="L34" s="10">
        <f t="shared" si="4"/>
        <v>0</v>
      </c>
      <c r="M34" s="10">
        <f t="shared" si="5"/>
        <v>0</v>
      </c>
      <c r="N34" s="10">
        <f t="shared" si="18"/>
        <v>11.71392680047818</v>
      </c>
      <c r="O34" s="10">
        <f t="shared" si="6"/>
        <v>4.789094548938527</v>
      </c>
      <c r="P34" s="10">
        <f t="shared" si="19"/>
        <v>46.6044887201103</v>
      </c>
      <c r="Q34" s="11">
        <f t="shared" si="7"/>
      </c>
      <c r="R34" s="10">
        <f t="shared" si="20"/>
        <v>-2.499668568995382</v>
      </c>
      <c r="S34" s="10">
        <f t="shared" si="8"/>
        <v>-0.989902853903885</v>
      </c>
      <c r="T34" s="10">
        <f>T33+S34</f>
        <v>-9.606633425768312</v>
      </c>
      <c r="U34" s="11">
        <f>IF(AND(T33&lt;0,T34&gt;0),#REF!,"")</f>
      </c>
      <c r="V34" s="71">
        <f t="shared" si="10"/>
        <v>38.493639157671225</v>
      </c>
    </row>
    <row r="35" spans="1:22" ht="12.75">
      <c r="A35" s="11">
        <f t="shared" si="11"/>
        <v>28</v>
      </c>
      <c r="B35" s="10">
        <f t="shared" si="12"/>
        <v>14.640003230557772</v>
      </c>
      <c r="C35" s="10">
        <f t="shared" si="13"/>
        <v>11.948205336487746</v>
      </c>
      <c r="D35" s="10">
        <f t="shared" si="0"/>
        <v>9.769962616701378E-16</v>
      </c>
      <c r="E35" s="10">
        <f t="shared" si="1"/>
        <v>0</v>
      </c>
      <c r="F35" s="10">
        <f t="shared" si="2"/>
        <v>1.9539925233402755E-14</v>
      </c>
      <c r="G35" s="10">
        <f t="shared" si="14"/>
        <v>14.64000323055777</v>
      </c>
      <c r="H35" s="10">
        <f t="shared" si="15"/>
        <v>198.56096111824587</v>
      </c>
      <c r="I35" s="10">
        <f t="shared" si="3"/>
        <v>5.78298050354821</v>
      </c>
      <c r="J35" s="10">
        <f t="shared" si="16"/>
        <v>62.258165086231365</v>
      </c>
      <c r="K35" s="11">
        <f t="shared" si="17"/>
      </c>
      <c r="L35" s="10">
        <f t="shared" si="4"/>
        <v>0</v>
      </c>
      <c r="M35" s="10">
        <f t="shared" si="5"/>
        <v>0</v>
      </c>
      <c r="N35" s="10">
        <f t="shared" si="18"/>
        <v>11.948205336487744</v>
      </c>
      <c r="O35" s="10">
        <f t="shared" si="6"/>
        <v>4.719687381562606</v>
      </c>
      <c r="P35" s="10">
        <f t="shared" si="19"/>
        <v>51.324176101672904</v>
      </c>
      <c r="Q35" s="11">
        <f t="shared" si="7"/>
      </c>
      <c r="R35" s="10">
        <f t="shared" si="20"/>
        <v>-2.6917978940700262</v>
      </c>
      <c r="S35" s="10">
        <f t="shared" si="8"/>
        <v>-1.0286790836011839</v>
      </c>
      <c r="T35" s="10">
        <f>T34+S35</f>
        <v>-10.635312509369495</v>
      </c>
      <c r="U35" s="11">
        <f>IF(AND(T34&lt;0,T35&gt;0),#REF!,"")</f>
      </c>
      <c r="V35" s="71">
        <f t="shared" si="10"/>
        <v>37.19192189146978</v>
      </c>
    </row>
    <row r="36" spans="1:22" ht="12.75">
      <c r="A36" s="11">
        <f t="shared" si="11"/>
        <v>29</v>
      </c>
      <c r="B36" s="10">
        <f t="shared" si="12"/>
        <v>15.079203327474506</v>
      </c>
      <c r="C36" s="10">
        <f t="shared" si="13"/>
        <v>12.1871694432175</v>
      </c>
      <c r="D36" s="10">
        <f t="shared" si="0"/>
        <v>9.769962616701378E-16</v>
      </c>
      <c r="E36" s="10">
        <f t="shared" si="1"/>
        <v>0</v>
      </c>
      <c r="F36" s="10">
        <f t="shared" si="2"/>
        <v>1.9539925233402755E-14</v>
      </c>
      <c r="G36" s="10">
        <f t="shared" si="14"/>
        <v>15.079203327474504</v>
      </c>
      <c r="H36" s="10">
        <f t="shared" si="15"/>
        <v>213.6401644457204</v>
      </c>
      <c r="I36" s="10">
        <f t="shared" si="3"/>
        <v>5.755043399666334</v>
      </c>
      <c r="J36" s="10">
        <f t="shared" si="16"/>
        <v>68.0132084858977</v>
      </c>
      <c r="K36" s="11">
        <f t="shared" si="17"/>
      </c>
      <c r="L36" s="10">
        <f t="shared" si="4"/>
        <v>0</v>
      </c>
      <c r="M36" s="10">
        <f t="shared" si="5"/>
        <v>0</v>
      </c>
      <c r="N36" s="10">
        <f t="shared" si="18"/>
        <v>12.187169443217499</v>
      </c>
      <c r="O36" s="10">
        <f t="shared" si="6"/>
        <v>4.651286115163148</v>
      </c>
      <c r="P36" s="10">
        <f t="shared" si="19"/>
        <v>55.97546221683605</v>
      </c>
      <c r="Q36" s="11">
        <f t="shared" si="7"/>
      </c>
      <c r="R36" s="10">
        <f t="shared" si="20"/>
        <v>-2.892033884257005</v>
      </c>
      <c r="S36" s="10">
        <f t="shared" si="8"/>
        <v>-1.0665179043799888</v>
      </c>
      <c r="T36" s="10">
        <f>T35+S36</f>
        <v>-11.701830413749484</v>
      </c>
      <c r="U36" s="11">
        <f>IF(AND(T35&lt;0,T36&gt;0),#REF!,"")</f>
      </c>
      <c r="V36" s="71">
        <f t="shared" si="10"/>
        <v>35.93422404972926</v>
      </c>
    </row>
    <row r="37" spans="1:22" ht="12.75">
      <c r="A37" s="11">
        <f t="shared" si="11"/>
        <v>30</v>
      </c>
      <c r="B37" s="10">
        <f t="shared" si="12"/>
        <v>15.531579427298741</v>
      </c>
      <c r="C37" s="10">
        <f t="shared" si="13"/>
        <v>12.430912832081852</v>
      </c>
      <c r="D37" s="10">
        <f t="shared" si="0"/>
        <v>9.769962616701378E-16</v>
      </c>
      <c r="E37" s="10">
        <f t="shared" si="1"/>
        <v>0</v>
      </c>
      <c r="F37" s="10">
        <f t="shared" si="2"/>
        <v>1.9539925233402755E-14</v>
      </c>
      <c r="G37" s="10">
        <f t="shared" si="14"/>
        <v>15.53157942729874</v>
      </c>
      <c r="H37" s="10">
        <f t="shared" si="15"/>
        <v>229.17174387301912</v>
      </c>
      <c r="I37" s="10">
        <f t="shared" si="3"/>
        <v>5.727241257638962</v>
      </c>
      <c r="J37" s="10">
        <f t="shared" si="16"/>
        <v>73.74044974353667</v>
      </c>
      <c r="K37" s="11">
        <f t="shared" si="17"/>
      </c>
      <c r="L37" s="10">
        <f t="shared" si="4"/>
        <v>0</v>
      </c>
      <c r="M37" s="10">
        <f t="shared" si="5"/>
        <v>0</v>
      </c>
      <c r="N37" s="10">
        <f t="shared" si="18"/>
        <v>12.43091283208185</v>
      </c>
      <c r="O37" s="10">
        <f t="shared" si="6"/>
        <v>4.583876171465133</v>
      </c>
      <c r="P37" s="10">
        <f t="shared" si="19"/>
        <v>60.559338388301185</v>
      </c>
      <c r="Q37" s="11">
        <f t="shared" si="7"/>
      </c>
      <c r="R37" s="10">
        <f t="shared" si="20"/>
        <v>-3.1006665952168895</v>
      </c>
      <c r="S37" s="10">
        <f t="shared" si="8"/>
        <v>-1.103436021724098</v>
      </c>
      <c r="T37" s="10">
        <f>T36+S37</f>
        <v>-12.805266435473582</v>
      </c>
      <c r="U37" s="11">
        <f>IF(AND(T36&lt;0,T37&gt;0),#REF!,"")</f>
      </c>
      <c r="V37" s="71">
        <f t="shared" si="10"/>
        <v>34.71905705287852</v>
      </c>
    </row>
    <row r="38" spans="1:22" ht="12.75">
      <c r="A38" s="11"/>
      <c r="B38" s="10"/>
      <c r="C38" s="10"/>
      <c r="D38" s="10"/>
      <c r="E38" s="10"/>
      <c r="F38" s="10"/>
      <c r="G38" s="10"/>
      <c r="I38" s="69">
        <f>SUM(I7:I37)</f>
        <v>123.74044974353664</v>
      </c>
      <c r="J38" s="10"/>
      <c r="K38" s="11"/>
      <c r="L38" s="10"/>
      <c r="M38" s="10"/>
      <c r="N38" s="10">
        <f>SUM(N7:N37)</f>
        <v>149.58971233091077</v>
      </c>
      <c r="O38" s="10"/>
      <c r="P38" s="10"/>
      <c r="Q38" s="11"/>
      <c r="V38" s="72">
        <f>SUM(V7:V37)</f>
        <v>1792.2906776100683</v>
      </c>
    </row>
    <row r="39" spans="1:22" ht="12.75">
      <c r="A39" s="11"/>
      <c r="B39" s="10"/>
      <c r="C39" s="10"/>
      <c r="D39" s="10"/>
      <c r="E39" s="10"/>
      <c r="F39" s="10"/>
      <c r="G39" s="10"/>
      <c r="I39" s="69"/>
      <c r="J39" s="10"/>
      <c r="K39" s="11"/>
      <c r="L39" s="10"/>
      <c r="M39" s="10"/>
      <c r="N39" s="10"/>
      <c r="O39" s="10"/>
      <c r="P39" s="10"/>
      <c r="Q39" s="11"/>
      <c r="V39" s="72"/>
    </row>
    <row r="40" spans="1:21" ht="12.75">
      <c r="A40" s="10"/>
      <c r="G40" s="16">
        <f>IRR(G7:G27,0)</f>
        <v>0.058774838903790094</v>
      </c>
      <c r="J40" s="18">
        <f>J27</f>
        <v>15.200606966199572</v>
      </c>
      <c r="K40" s="17">
        <f>SUM(K7:K37)</f>
        <v>16</v>
      </c>
      <c r="M40" s="16"/>
      <c r="N40" s="16">
        <f>IRR(N7:N27,0.2)</f>
        <v>0.05382848069806845</v>
      </c>
      <c r="O40" s="15"/>
      <c r="P40" s="18">
        <f>P27</f>
        <v>11.56505435226949</v>
      </c>
      <c r="Q40" s="17">
        <f>SUM(Q7:Q37)</f>
        <v>17</v>
      </c>
      <c r="R40" s="16"/>
      <c r="S40" s="15"/>
      <c r="T40" s="18"/>
      <c r="U40" s="17"/>
    </row>
    <row r="41" spans="1:21" ht="12.75">
      <c r="A41" s="10"/>
      <c r="G41" s="16">
        <f>IRR(G7:G32,0)</f>
        <v>0.08410164039350665</v>
      </c>
      <c r="I41" s="15"/>
      <c r="J41" s="18">
        <f>J32</f>
        <v>44.82486913756957</v>
      </c>
      <c r="M41" s="16"/>
      <c r="N41" s="16">
        <f>IRR(N7:N32,0)</f>
        <v>0.07899491176023399</v>
      </c>
      <c r="O41" s="15"/>
      <c r="P41" s="18">
        <f>P32</f>
        <v>36.95587176121944</v>
      </c>
      <c r="Q41" s="11">
        <f>IF(AND(P40&lt;0,P41&gt;0),A41,"")</f>
      </c>
      <c r="R41" s="16"/>
      <c r="S41" s="15"/>
      <c r="T41" s="18"/>
      <c r="U41" s="13"/>
    </row>
    <row r="42" spans="1:21" ht="12.75">
      <c r="A42" s="10"/>
      <c r="G42" s="16">
        <f>IRR(G7:G37,0)</f>
        <v>0.09570781788400295</v>
      </c>
      <c r="J42" s="18">
        <f>J37</f>
        <v>73.74044974353667</v>
      </c>
      <c r="M42" s="16"/>
      <c r="N42" s="16">
        <f>IRR(N7:N37,0)</f>
        <v>0.09026497414759249</v>
      </c>
      <c r="O42" s="14"/>
      <c r="P42" s="18">
        <f>P37</f>
        <v>60.559338388301185</v>
      </c>
      <c r="Q42" s="11">
        <f>IF(AND(P41&lt;0,P42&gt;0),A42,"")</f>
      </c>
      <c r="R42" s="16"/>
      <c r="S42" s="14"/>
      <c r="T42" s="18"/>
      <c r="U42" s="13"/>
    </row>
    <row r="43" ht="12.75">
      <c r="A43" s="10"/>
    </row>
    <row r="44" ht="12.75">
      <c r="A44" s="10"/>
    </row>
    <row r="45" ht="12.75">
      <c r="A45" s="10"/>
    </row>
    <row r="46" ht="12.75">
      <c r="A46" s="10"/>
    </row>
    <row r="47" ht="12.75">
      <c r="A47" s="10"/>
    </row>
    <row r="48" ht="12.75">
      <c r="A48" s="10"/>
    </row>
    <row r="49" ht="12.75">
      <c r="A49" s="10"/>
    </row>
    <row r="50" ht="12.75">
      <c r="A50" s="10"/>
    </row>
    <row r="51" ht="12.75">
      <c r="A51" s="10"/>
    </row>
    <row r="52" ht="12.75">
      <c r="A52" s="10"/>
    </row>
    <row r="53" ht="12.75">
      <c r="A53" s="10"/>
    </row>
    <row r="54" ht="12.75">
      <c r="A54" s="10"/>
    </row>
    <row r="55" ht="12.75">
      <c r="A55" s="10"/>
    </row>
    <row r="56" ht="12.75">
      <c r="A56" s="10"/>
    </row>
    <row r="57" ht="12.75">
      <c r="A57" s="10"/>
    </row>
    <row r="58" ht="12.75">
      <c r="A58" s="10"/>
    </row>
    <row r="59" spans="1:12" ht="12.75">
      <c r="A59" s="10"/>
      <c r="B59" s="10"/>
      <c r="C59" s="10"/>
      <c r="L59" s="10"/>
    </row>
  </sheetData>
  <sheetProtection sheet="1"/>
  <printOptions gridLines="1" horizontalCentered="1"/>
  <pageMargins left="0.3937007874015748" right="0.3937007874015748" top="0.984251968503937" bottom="0.984251968503937" header="0.5118110236220472" footer="0.5118110236220472"/>
  <pageSetup horizontalDpi="600" verticalDpi="600" orientation="portrait" paperSize="9" r:id="rId1"/>
  <headerFooter alignWithMargins="0">
    <oddHeader>&amp;C&amp;F</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 Körblein</dc:creator>
  <cp:keywords/>
  <dc:description/>
  <cp:lastModifiedBy>Franziska</cp:lastModifiedBy>
  <cp:lastPrinted>2015-04-15T09:17:48Z</cp:lastPrinted>
  <dcterms:created xsi:type="dcterms:W3CDTF">1999-10-30T15:36:17Z</dcterms:created>
  <dcterms:modified xsi:type="dcterms:W3CDTF">2017-05-03T16:13:43Z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