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ampagnen\Solarkampagne\Wirtschaftlichkeitstabellen\Wärmedämmung\"/>
    </mc:Choice>
  </mc:AlternateContent>
  <bookViews>
    <workbookView xWindow="32760" yWindow="32760" windowWidth="16812" windowHeight="7752" tabRatio="914" activeTab="1"/>
  </bookViews>
  <sheets>
    <sheet name="Info" sheetId="1" r:id="rId1"/>
    <sheet name="Parameter" sheetId="2" r:id="rId2"/>
    <sheet name="Berechnung" sheetId="8" r:id="rId3"/>
    <sheet name="Ergebnis (Einsparungen)" sheetId="3" r:id="rId4"/>
    <sheet name="Kapitalwert (Einsp.)" sheetId="7" r:id="rId5"/>
    <sheet name="Ergebnis (Umlage)" sheetId="9" r:id="rId6"/>
    <sheet name="Kapitalwert (Umlage)" sheetId="10" r:id="rId7"/>
  </sheets>
  <definedNames>
    <definedName name="Bereitstellung">Parameter!$B$32</definedName>
    <definedName name="Dämmstärke">Parameter!$B$16</definedName>
    <definedName name="Darlehen">Parameter!$B$30</definedName>
    <definedName name="Diskontsatz">Parameter!$B$25</definedName>
    <definedName name="Emissionsfaktor">Parameter!$B$20</definedName>
    <definedName name="Energieeinsparung">Parameter!$B$39</definedName>
    <definedName name="Energiekosten">Parameter!$B$22</definedName>
    <definedName name="Energiekostensteigerung">Parameter!$B$23</definedName>
    <definedName name="Gradtagszahl">Parameter!$B$17</definedName>
    <definedName name="Gradtagszahl_nach">Parameter!$B$18</definedName>
    <definedName name="Gradtagszahl_vor">Parameter!$B$17</definedName>
    <definedName name="Inflation">Parameter!$B$24</definedName>
    <definedName name="Instandhaltung">Parameter!$B$13</definedName>
    <definedName name="Kosten">Parameter!$B$12</definedName>
    <definedName name="Lambdawert">Parameter!$B$15</definedName>
    <definedName name="Laufzeit">Parameter!$B$35</definedName>
    <definedName name="Prozent_Umlage">Parameter!$B$21</definedName>
    <definedName name="Steuersatz">Parameter!$B$26</definedName>
    <definedName name="Tilgungsfrei">Parameter!$B$36</definedName>
    <definedName name="UWert_alt">Parameter!$B$14</definedName>
    <definedName name="UWert_Mauer">Parameter!$B$14</definedName>
    <definedName name="UWert_nach">Parameter!$G$16</definedName>
    <definedName name="UWert_vor">Parameter!$B$14</definedName>
    <definedName name="Wirkungsgrad">Parameter!$B$19</definedName>
    <definedName name="Z_36051EDE_EE05_46A8_9481_5CD2E0A132E3_.wvu.Cols" localSheetId="1" hidden="1">Parameter!$I:$I</definedName>
    <definedName name="Zeitraum">Parameter!$B$27</definedName>
    <definedName name="Zinsbindung">Parameter!$B$33</definedName>
    <definedName name="Zinssatz">Parameter!$B$31</definedName>
    <definedName name="Zinssatz_nach_Zinsbindung">Parameter!$B$34</definedName>
  </definedNames>
  <calcPr calcId="162913" fullCalcOnLoad="1"/>
  <customWorkbookViews>
    <customWorkbookView name="Alfred Körblein - Persönliche Ansicht" guid="{36051EDE-EE05-46A8-9481-5CD2E0A132E3}" mergeInterval="0" personalView="1" maximized="1" windowWidth="1020" windowHeight="566" activeSheetId="3"/>
  </customWorkbookViews>
</workbook>
</file>

<file path=xl/calcChain.xml><?xml version="1.0" encoding="utf-8"?>
<calcChain xmlns="http://schemas.openxmlformats.org/spreadsheetml/2006/main">
  <c r="E22" i="2" l="1"/>
  <c r="B30" i="2"/>
  <c r="N8" i="8"/>
  <c r="P8" i="8"/>
  <c r="L9" i="8"/>
  <c r="E9" i="8"/>
  <c r="C9" i="8"/>
  <c r="C10" i="8"/>
  <c r="A1" i="8"/>
  <c r="A2" i="8"/>
  <c r="A3" i="8"/>
  <c r="A10" i="8"/>
  <c r="L10" i="8"/>
  <c r="A1" i="1"/>
  <c r="A2" i="1"/>
  <c r="A3" i="1"/>
  <c r="G16" i="2"/>
  <c r="B39" i="2"/>
  <c r="A11" i="8"/>
  <c r="A12" i="8"/>
  <c r="L11" i="8"/>
  <c r="F8" i="8"/>
  <c r="A13" i="8"/>
  <c r="L12" i="8"/>
  <c r="C11" i="8"/>
  <c r="B9" i="8"/>
  <c r="E10" i="8"/>
  <c r="B40" i="2"/>
  <c r="G8" i="8"/>
  <c r="D9" i="8"/>
  <c r="G9" i="8" s="1"/>
  <c r="F9" i="8"/>
  <c r="E11" i="8"/>
  <c r="E12" i="8"/>
  <c r="L13" i="8"/>
  <c r="E13" i="8"/>
  <c r="A14" i="8"/>
  <c r="S9" i="8"/>
  <c r="B10" i="8"/>
  <c r="J8" i="8"/>
  <c r="C12" i="8"/>
  <c r="F10" i="8"/>
  <c r="D10" i="8"/>
  <c r="C13" i="8"/>
  <c r="A15" i="8"/>
  <c r="E14" i="8"/>
  <c r="L14" i="8"/>
  <c r="B49" i="2"/>
  <c r="T9" i="8"/>
  <c r="U9" i="8"/>
  <c r="B11" i="8"/>
  <c r="S10" i="8"/>
  <c r="T10" i="8"/>
  <c r="F11" i="8"/>
  <c r="D11" i="8"/>
  <c r="M11" i="8" s="1"/>
  <c r="C14" i="8"/>
  <c r="U10" i="8"/>
  <c r="V10" i="8"/>
  <c r="V9" i="8"/>
  <c r="B12" i="8"/>
  <c r="S11" i="8"/>
  <c r="T11" i="8"/>
  <c r="L15" i="8"/>
  <c r="A16" i="8"/>
  <c r="E15" i="8"/>
  <c r="F12" i="8"/>
  <c r="D12" i="8"/>
  <c r="M12" i="8" s="1"/>
  <c r="U11" i="8"/>
  <c r="V11" i="8"/>
  <c r="A17" i="8"/>
  <c r="E16" i="8"/>
  <c r="L16" i="8"/>
  <c r="B13" i="8"/>
  <c r="S12" i="8"/>
  <c r="T12" i="8"/>
  <c r="C15" i="8"/>
  <c r="F13" i="8"/>
  <c r="D13" i="8"/>
  <c r="G13" i="8" s="1"/>
  <c r="I13" i="8" s="1"/>
  <c r="C16" i="8"/>
  <c r="L17" i="8"/>
  <c r="E17" i="8"/>
  <c r="A18" i="8"/>
  <c r="B14" i="8"/>
  <c r="S13" i="8"/>
  <c r="T13" i="8"/>
  <c r="U12" i="8"/>
  <c r="D14" i="8"/>
  <c r="G14" i="8" s="1"/>
  <c r="I14" i="8" s="1"/>
  <c r="F14" i="8"/>
  <c r="L18" i="8"/>
  <c r="A19" i="8"/>
  <c r="E18" i="8"/>
  <c r="U13" i="8"/>
  <c r="V13" i="8"/>
  <c r="C17" i="8"/>
  <c r="V12" i="8"/>
  <c r="B15" i="8"/>
  <c r="S14" i="8"/>
  <c r="T14" i="8"/>
  <c r="D15" i="8"/>
  <c r="G15" i="8" s="1"/>
  <c r="I15" i="8" s="1"/>
  <c r="F15" i="8"/>
  <c r="C18" i="8"/>
  <c r="E19" i="8"/>
  <c r="A20" i="8"/>
  <c r="L19" i="8"/>
  <c r="B16" i="8"/>
  <c r="S15" i="8"/>
  <c r="T15" i="8"/>
  <c r="U14" i="8"/>
  <c r="V14" i="8"/>
  <c r="D16" i="8"/>
  <c r="M16" i="8" s="1"/>
  <c r="N16" i="8" s="1"/>
  <c r="O16" i="8" s="1"/>
  <c r="F16" i="8"/>
  <c r="C19" i="8"/>
  <c r="B17" i="8"/>
  <c r="S16" i="8"/>
  <c r="T16" i="8"/>
  <c r="A21" i="8"/>
  <c r="L20" i="8"/>
  <c r="E20" i="8"/>
  <c r="U15" i="8"/>
  <c r="V15" i="8"/>
  <c r="D17" i="8"/>
  <c r="F17" i="8"/>
  <c r="U16" i="8"/>
  <c r="V16" i="8"/>
  <c r="C20" i="8"/>
  <c r="L21" i="8"/>
  <c r="E21" i="8"/>
  <c r="A22" i="8"/>
  <c r="B18" i="8"/>
  <c r="S17" i="8"/>
  <c r="T17" i="8"/>
  <c r="D18" i="8"/>
  <c r="F18" i="8"/>
  <c r="B19" i="8"/>
  <c r="S18" i="8"/>
  <c r="T18" i="8"/>
  <c r="U17" i="8"/>
  <c r="V17" i="8"/>
  <c r="L22" i="8"/>
  <c r="E22" i="8"/>
  <c r="A23" i="8"/>
  <c r="C21" i="8"/>
  <c r="D19" i="8"/>
  <c r="F19" i="8"/>
  <c r="B20" i="8"/>
  <c r="S19" i="8"/>
  <c r="T19" i="8"/>
  <c r="B50" i="2"/>
  <c r="C22" i="8"/>
  <c r="L23" i="8"/>
  <c r="A24" i="8"/>
  <c r="E23" i="8"/>
  <c r="U18" i="8"/>
  <c r="V18" i="8"/>
  <c r="D20" i="8"/>
  <c r="M20" i="8" s="1"/>
  <c r="F20" i="8"/>
  <c r="C23" i="8"/>
  <c r="U19" i="8"/>
  <c r="V19" i="8"/>
  <c r="A25" i="8"/>
  <c r="E24" i="8"/>
  <c r="L24" i="8"/>
  <c r="B21" i="8"/>
  <c r="S20" i="8"/>
  <c r="T20" i="8"/>
  <c r="D21" i="8"/>
  <c r="G21" i="8" s="1"/>
  <c r="I21" i="8" s="1"/>
  <c r="F21" i="8"/>
  <c r="C24" i="8"/>
  <c r="L25" i="8"/>
  <c r="A26" i="8"/>
  <c r="E25" i="8"/>
  <c r="U20" i="8"/>
  <c r="V20" i="8"/>
  <c r="B22" i="8"/>
  <c r="S21" i="8"/>
  <c r="T21" i="8"/>
  <c r="D22" i="8"/>
  <c r="F22" i="8"/>
  <c r="C25" i="8"/>
  <c r="B23" i="8"/>
  <c r="S22" i="8"/>
  <c r="T22" i="8"/>
  <c r="A27" i="8"/>
  <c r="E26" i="8"/>
  <c r="L26" i="8"/>
  <c r="U21" i="8"/>
  <c r="V21" i="8"/>
  <c r="D23" i="8"/>
  <c r="M23" i="8" s="1"/>
  <c r="F23" i="8"/>
  <c r="C26" i="8"/>
  <c r="U22" i="8"/>
  <c r="V22" i="8"/>
  <c r="E27" i="8"/>
  <c r="L27" i="8"/>
  <c r="A28" i="8"/>
  <c r="B24" i="8"/>
  <c r="S23" i="8"/>
  <c r="T23" i="8"/>
  <c r="D24" i="8"/>
  <c r="G24" i="8"/>
  <c r="I24" i="8" s="1"/>
  <c r="F24" i="8"/>
  <c r="B25" i="8"/>
  <c r="S24" i="8"/>
  <c r="T24" i="8"/>
  <c r="C27" i="8"/>
  <c r="U23" i="8"/>
  <c r="L28" i="8"/>
  <c r="A29" i="8"/>
  <c r="E28" i="8"/>
  <c r="D25" i="8"/>
  <c r="G25" i="8" s="1"/>
  <c r="I25" i="8" s="1"/>
  <c r="F25" i="8"/>
  <c r="M24" i="8"/>
  <c r="N24" i="8"/>
  <c r="O24" i="8" s="1"/>
  <c r="U24" i="8"/>
  <c r="V23" i="8"/>
  <c r="E29" i="8"/>
  <c r="L29" i="8"/>
  <c r="A30" i="8"/>
  <c r="C28" i="8"/>
  <c r="B26" i="8"/>
  <c r="S25" i="8"/>
  <c r="T25" i="8"/>
  <c r="M25" i="8"/>
  <c r="N25" i="8" s="1"/>
  <c r="O25" i="8" s="1"/>
  <c r="D26" i="8"/>
  <c r="G26" i="8" s="1"/>
  <c r="I26" i="8" s="1"/>
  <c r="F26" i="8"/>
  <c r="U25" i="8"/>
  <c r="V25" i="8"/>
  <c r="B27" i="8"/>
  <c r="S26" i="8"/>
  <c r="T26" i="8"/>
  <c r="V24" i="8"/>
  <c r="C29" i="8"/>
  <c r="L30" i="8"/>
  <c r="A31" i="8"/>
  <c r="E30" i="8"/>
  <c r="D27" i="8"/>
  <c r="M27" i="8" s="1"/>
  <c r="F27" i="8"/>
  <c r="M26" i="8"/>
  <c r="N26" i="8" s="1"/>
  <c r="O26" i="8" s="1"/>
  <c r="C30" i="8"/>
  <c r="E31" i="8"/>
  <c r="L31" i="8"/>
  <c r="A32" i="8"/>
  <c r="B28" i="8"/>
  <c r="S27" i="8"/>
  <c r="T27" i="8"/>
  <c r="U26" i="8"/>
  <c r="V26" i="8"/>
  <c r="D28" i="8"/>
  <c r="M28" i="8" s="1"/>
  <c r="N28" i="8" s="1"/>
  <c r="O28" i="8" s="1"/>
  <c r="G28" i="8"/>
  <c r="I28" i="8" s="1"/>
  <c r="F28" i="8"/>
  <c r="U27" i="8"/>
  <c r="V27" i="8"/>
  <c r="L32" i="8"/>
  <c r="E32" i="8"/>
  <c r="A33" i="8"/>
  <c r="C31" i="8"/>
  <c r="B29" i="8"/>
  <c r="S28" i="8"/>
  <c r="T28" i="8"/>
  <c r="D29" i="8"/>
  <c r="M29" i="8" s="1"/>
  <c r="F29" i="8"/>
  <c r="B30" i="8"/>
  <c r="S29" i="8"/>
  <c r="T29" i="8"/>
  <c r="A34" i="8"/>
  <c r="L33" i="8"/>
  <c r="E33" i="8"/>
  <c r="C32" i="8"/>
  <c r="U28" i="8"/>
  <c r="D30" i="8"/>
  <c r="F30" i="8"/>
  <c r="U29" i="8"/>
  <c r="V29" i="8"/>
  <c r="A35" i="8"/>
  <c r="E34" i="8"/>
  <c r="L34" i="8"/>
  <c r="B31" i="8"/>
  <c r="S30" i="8"/>
  <c r="T30" i="8"/>
  <c r="V28" i="8"/>
  <c r="C33" i="8"/>
  <c r="D31" i="8"/>
  <c r="G31" i="8" s="1"/>
  <c r="I31" i="8" s="1"/>
  <c r="F31" i="8"/>
  <c r="U30" i="8"/>
  <c r="V30" i="8"/>
  <c r="C34" i="8"/>
  <c r="B32" i="8"/>
  <c r="S31" i="8"/>
  <c r="T31" i="8"/>
  <c r="A36" i="8"/>
  <c r="E35" i="8"/>
  <c r="L35" i="8"/>
  <c r="M31" i="8"/>
  <c r="N31" i="8"/>
  <c r="O31" i="8" s="1"/>
  <c r="D32" i="8"/>
  <c r="M32" i="8" s="1"/>
  <c r="F32" i="8"/>
  <c r="E36" i="8"/>
  <c r="L36" i="8"/>
  <c r="A37" i="8"/>
  <c r="B33" i="8"/>
  <c r="S32" i="8"/>
  <c r="T32" i="8"/>
  <c r="C35" i="8"/>
  <c r="U31" i="8"/>
  <c r="V31" i="8"/>
  <c r="D33" i="8"/>
  <c r="M33" i="8" s="1"/>
  <c r="F33" i="8"/>
  <c r="C36" i="8"/>
  <c r="B34" i="8"/>
  <c r="S33" i="8"/>
  <c r="T33" i="8"/>
  <c r="U32" i="8"/>
  <c r="E37" i="8"/>
  <c r="L37" i="8"/>
  <c r="A38" i="8"/>
  <c r="D34" i="8"/>
  <c r="M34" i="8" s="1"/>
  <c r="N34" i="8" s="1"/>
  <c r="O34" i="8" s="1"/>
  <c r="F34" i="8"/>
  <c r="E38" i="8"/>
  <c r="L38" i="8"/>
  <c r="U33" i="8"/>
  <c r="C37" i="8"/>
  <c r="V32" i="8"/>
  <c r="B35" i="8"/>
  <c r="S34" i="8"/>
  <c r="T34" i="8"/>
  <c r="D35" i="8"/>
  <c r="F35" i="8"/>
  <c r="U34" i="8"/>
  <c r="C38" i="8"/>
  <c r="V33" i="8"/>
  <c r="B36" i="8"/>
  <c r="S35" i="8"/>
  <c r="T35" i="8"/>
  <c r="D36" i="8"/>
  <c r="M36" i="8" s="1"/>
  <c r="N36" i="8" s="1"/>
  <c r="O36" i="8" s="1"/>
  <c r="G36" i="8"/>
  <c r="I36" i="8" s="1"/>
  <c r="F36" i="8"/>
  <c r="B37" i="8"/>
  <c r="S36" i="8"/>
  <c r="T36" i="8"/>
  <c r="U35" i="8"/>
  <c r="V35" i="8"/>
  <c r="V34" i="8"/>
  <c r="D37" i="8"/>
  <c r="M37" i="8" s="1"/>
  <c r="N37" i="8" s="1"/>
  <c r="O37" i="8" s="1"/>
  <c r="G37" i="8"/>
  <c r="I37" i="8" s="1"/>
  <c r="F37" i="8"/>
  <c r="U36" i="8"/>
  <c r="V36" i="8"/>
  <c r="B38" i="8"/>
  <c r="S37" i="8"/>
  <c r="T37" i="8"/>
  <c r="D38" i="8"/>
  <c r="F38" i="8"/>
  <c r="S38" i="8"/>
  <c r="T38" i="8"/>
  <c r="U37" i="8"/>
  <c r="U38" i="8"/>
  <c r="V38" i="8"/>
  <c r="V37" i="8"/>
  <c r="M38" i="8" l="1"/>
  <c r="N38" i="8" s="1"/>
  <c r="O38" i="8" s="1"/>
  <c r="G16" i="8"/>
  <c r="I16" i="8" s="1"/>
  <c r="G30" i="8"/>
  <c r="I30" i="8" s="1"/>
  <c r="M21" i="8"/>
  <c r="M13" i="8"/>
  <c r="N13" i="8" s="1"/>
  <c r="O13" i="8" s="1"/>
  <c r="G34" i="8"/>
  <c r="I34" i="8" s="1"/>
  <c r="G18" i="8"/>
  <c r="I18" i="8" s="1"/>
  <c r="G38" i="8"/>
  <c r="I38" i="8" s="1"/>
  <c r="M30" i="8"/>
  <c r="N30" i="8" s="1"/>
  <c r="O30" i="8" s="1"/>
  <c r="M18" i="8"/>
  <c r="N18" i="8" s="1"/>
  <c r="O18" i="8" s="1"/>
  <c r="I9" i="8"/>
  <c r="H9" i="8"/>
  <c r="G32" i="8"/>
  <c r="I32" i="8" s="1"/>
  <c r="M22" i="8"/>
  <c r="N22" i="8" s="1"/>
  <c r="O22" i="8" s="1"/>
  <c r="M19" i="8"/>
  <c r="N19" i="8" s="1"/>
  <c r="O19" i="8" s="1"/>
  <c r="M17" i="8"/>
  <c r="N17" i="8" s="1"/>
  <c r="O17" i="8" s="1"/>
  <c r="M10" i="8"/>
  <c r="N10" i="8" s="1"/>
  <c r="O10" i="8" s="1"/>
  <c r="G10" i="8"/>
  <c r="I10" i="8" s="1"/>
  <c r="G35" i="8"/>
  <c r="I35" i="8" s="1"/>
  <c r="G29" i="8"/>
  <c r="I29" i="8" s="1"/>
  <c r="G27" i="8"/>
  <c r="I27" i="8" s="1"/>
  <c r="M9" i="8"/>
  <c r="N9" i="8" s="1"/>
  <c r="N29" i="8"/>
  <c r="O29" i="8" s="1"/>
  <c r="G23" i="8"/>
  <c r="I23" i="8" s="1"/>
  <c r="N21" i="8"/>
  <c r="O21" i="8" s="1"/>
  <c r="G20" i="8"/>
  <c r="I20" i="8" s="1"/>
  <c r="G12" i="8"/>
  <c r="I12" i="8" s="1"/>
  <c r="N33" i="8"/>
  <c r="O33" i="8" s="1"/>
  <c r="G33" i="8"/>
  <c r="I33" i="8" s="1"/>
  <c r="N27" i="8"/>
  <c r="O27" i="8" s="1"/>
  <c r="G22" i="8"/>
  <c r="I22" i="8" s="1"/>
  <c r="M15" i="8"/>
  <c r="N15" i="8" s="1"/>
  <c r="O15" i="8" s="1"/>
  <c r="N20" i="8"/>
  <c r="O20" i="8" s="1"/>
  <c r="N12" i="8"/>
  <c r="O12" i="8" s="1"/>
  <c r="M14" i="8"/>
  <c r="N14" i="8" s="1"/>
  <c r="O14" i="8" s="1"/>
  <c r="G11" i="8"/>
  <c r="I11" i="8" s="1"/>
  <c r="N23" i="8"/>
  <c r="O23" i="8" s="1"/>
  <c r="M35" i="8"/>
  <c r="N35" i="8" s="1"/>
  <c r="O35" i="8" s="1"/>
  <c r="N32" i="8"/>
  <c r="O32" i="8" s="1"/>
  <c r="G19" i="8"/>
  <c r="I19" i="8" s="1"/>
  <c r="G17" i="8"/>
  <c r="I17" i="8" s="1"/>
  <c r="N11" i="8"/>
  <c r="O11" i="8" s="1"/>
  <c r="O9" i="8" l="1"/>
  <c r="P9" i="8" s="1"/>
  <c r="N41" i="8"/>
  <c r="N42" i="8"/>
  <c r="D45" i="2" s="1"/>
  <c r="N39" i="8"/>
  <c r="N43" i="8"/>
  <c r="G43" i="8"/>
  <c r="H10" i="8"/>
  <c r="H11" i="8" s="1"/>
  <c r="H12" i="8" s="1"/>
  <c r="H13" i="8" s="1"/>
  <c r="H14" i="8" s="1"/>
  <c r="H15" i="8" s="1"/>
  <c r="H16" i="8" s="1"/>
  <c r="H17" i="8" s="1"/>
  <c r="H18" i="8" s="1"/>
  <c r="H19" i="8" s="1"/>
  <c r="H20" i="8" s="1"/>
  <c r="H21" i="8" s="1"/>
  <c r="H22" i="8" s="1"/>
  <c r="H23" i="8" s="1"/>
  <c r="H24" i="8" s="1"/>
  <c r="H25" i="8" s="1"/>
  <c r="H26" i="8" s="1"/>
  <c r="H27" i="8" s="1"/>
  <c r="H28" i="8" s="1"/>
  <c r="H29" i="8" s="1"/>
  <c r="H30" i="8" s="1"/>
  <c r="H31" i="8" s="1"/>
  <c r="H32" i="8" s="1"/>
  <c r="H33" i="8" s="1"/>
  <c r="H34" i="8" s="1"/>
  <c r="H35" i="8" s="1"/>
  <c r="H36" i="8" s="1"/>
  <c r="H37" i="8" s="1"/>
  <c r="H38" i="8" s="1"/>
  <c r="G42" i="8"/>
  <c r="B45" i="2" s="1"/>
  <c r="J9" i="8"/>
  <c r="I39" i="8"/>
  <c r="G41" i="8"/>
  <c r="J10" i="8" l="1"/>
  <c r="K10" i="8" s="1"/>
  <c r="K9" i="8"/>
  <c r="Q9" i="8"/>
  <c r="P10" i="8"/>
  <c r="Q10" i="8" s="1"/>
  <c r="P11" i="8" l="1"/>
  <c r="Q11" i="8" s="1"/>
  <c r="J11" i="8"/>
  <c r="K11" i="8"/>
  <c r="J12" i="8" l="1"/>
  <c r="K12" i="8" s="1"/>
  <c r="P12" i="8"/>
  <c r="Q12" i="8" s="1"/>
  <c r="P13" i="8" l="1"/>
  <c r="Q13" i="8"/>
  <c r="J13" i="8"/>
  <c r="K13" i="8" s="1"/>
  <c r="P14" i="8" l="1"/>
  <c r="J14" i="8"/>
  <c r="K14" i="8" s="1"/>
  <c r="P15" i="8" l="1"/>
  <c r="J15" i="8"/>
  <c r="K15" i="8" s="1"/>
  <c r="Q14" i="8"/>
  <c r="J16" i="8" l="1"/>
  <c r="K16" i="8"/>
  <c r="P16" i="8"/>
  <c r="Q16" i="8"/>
  <c r="Q15" i="8"/>
  <c r="P17" i="8" l="1"/>
  <c r="Q17" i="8"/>
  <c r="J17" i="8"/>
  <c r="K17" i="8"/>
  <c r="J18" i="8" l="1"/>
  <c r="P18" i="8"/>
  <c r="Q18" i="8"/>
  <c r="P19" i="8" l="1"/>
  <c r="J19" i="8"/>
  <c r="K19" i="8"/>
  <c r="K18" i="8"/>
  <c r="J20" i="8" l="1"/>
  <c r="K20" i="8"/>
  <c r="P20" i="8"/>
  <c r="Q20" i="8" s="1"/>
  <c r="Q19" i="8"/>
  <c r="J21" i="8" l="1"/>
  <c r="K21" i="8"/>
  <c r="P21" i="8"/>
  <c r="P22" i="8" l="1"/>
  <c r="Q21" i="8"/>
  <c r="J22" i="8"/>
  <c r="K22" i="8"/>
  <c r="P23" i="8" l="1"/>
  <c r="J23" i="8"/>
  <c r="Q22" i="8"/>
  <c r="J24" i="8" l="1"/>
  <c r="K23" i="8"/>
  <c r="P24" i="8"/>
  <c r="Q23" i="8"/>
  <c r="P25" i="8" l="1"/>
  <c r="Q24" i="8"/>
  <c r="J25" i="8"/>
  <c r="K24" i="8"/>
  <c r="J26" i="8" l="1"/>
  <c r="K26" i="8"/>
  <c r="K25" i="8"/>
  <c r="P26" i="8"/>
  <c r="Q25" i="8"/>
  <c r="P27" i="8" l="1"/>
  <c r="Q26" i="8"/>
  <c r="J27" i="8"/>
  <c r="K27" i="8"/>
  <c r="J28" i="8" l="1"/>
  <c r="K28" i="8"/>
  <c r="P28" i="8"/>
  <c r="Q28" i="8"/>
  <c r="Q27" i="8"/>
  <c r="P41" i="8" l="1"/>
  <c r="P29" i="8"/>
  <c r="Q29" i="8"/>
  <c r="J29" i="8"/>
  <c r="K29" i="8"/>
  <c r="J41" i="8"/>
  <c r="J30" i="8" l="1"/>
  <c r="K30" i="8"/>
  <c r="P30" i="8"/>
  <c r="Q30" i="8"/>
  <c r="P31" i="8" l="1"/>
  <c r="J31" i="8"/>
  <c r="K31" i="8"/>
  <c r="J32" i="8" l="1"/>
  <c r="K32" i="8"/>
  <c r="P32" i="8"/>
  <c r="Q32" i="8"/>
  <c r="Q31" i="8"/>
  <c r="P33" i="8" l="1"/>
  <c r="Q33" i="8"/>
  <c r="J33" i="8"/>
  <c r="K33" i="8"/>
  <c r="J34" i="8" l="1"/>
  <c r="J42" i="8"/>
  <c r="B46" i="2" s="1"/>
  <c r="K34" i="8"/>
  <c r="P42" i="8"/>
  <c r="P34" i="8"/>
  <c r="Q34" i="8"/>
  <c r="P35" i="8" l="1"/>
  <c r="Q35" i="8" s="1"/>
  <c r="D46" i="2"/>
  <c r="Q42" i="8"/>
  <c r="J35" i="8"/>
  <c r="K35" i="8"/>
  <c r="J36" i="8" l="1"/>
  <c r="P36" i="8"/>
  <c r="Q36" i="8"/>
  <c r="P37" i="8" l="1"/>
  <c r="J37" i="8"/>
  <c r="K36" i="8"/>
  <c r="J38" i="8" l="1"/>
  <c r="J43" i="8" s="1"/>
  <c r="K38" i="8"/>
  <c r="K37" i="8"/>
  <c r="P38" i="8"/>
  <c r="P43" i="8" s="1"/>
  <c r="Q43" i="8" s="1"/>
  <c r="Q37" i="8"/>
  <c r="Q38" i="8" l="1"/>
  <c r="Q41" i="8" s="1"/>
  <c r="D44" i="2" s="1"/>
  <c r="K41" i="8"/>
  <c r="B44" i="2" s="1"/>
</calcChain>
</file>

<file path=xl/comments1.xml><?xml version="1.0" encoding="utf-8"?>
<comments xmlns="http://schemas.openxmlformats.org/spreadsheetml/2006/main">
  <authors>
    <author>Alfred Körblein</author>
    <author>Windows User</author>
  </authors>
  <commentList>
    <comment ref="B16" authorId="0" shapeId="0">
      <text>
        <r>
          <rPr>
            <b/>
            <sz val="9"/>
            <color indexed="81"/>
            <rFont val="Tahoma"/>
            <family val="2"/>
          </rPr>
          <t>KfW-Mindestanforderung an den U-Wert nach Sanierung: 0,2 W/m²K</t>
        </r>
      </text>
    </comment>
    <comment ref="B21" authorId="1" shapeId="0">
      <text>
        <r>
          <rPr>
            <b/>
            <sz val="9"/>
            <color indexed="81"/>
            <rFont val="Tahoma"/>
            <family val="2"/>
          </rPr>
          <t>Unlagefähig sind nur die Zusatzkosten für Wärmedämmung</t>
        </r>
        <r>
          <rPr>
            <sz val="9"/>
            <color indexed="81"/>
            <rFont val="Tahoma"/>
            <family val="2"/>
          </rPr>
          <t xml:space="preserve">
</t>
        </r>
      </text>
    </comment>
    <comment ref="B49" authorId="1" shapeId="0">
      <text>
        <r>
          <rPr>
            <b/>
            <sz val="9"/>
            <color indexed="81"/>
            <rFont val="Tahoma"/>
            <family val="2"/>
          </rPr>
          <t>ein positiver Wert bedeutet Erhöhung der Warmmiete</t>
        </r>
        <r>
          <rPr>
            <sz val="9"/>
            <color indexed="81"/>
            <rFont val="Tahoma"/>
            <family val="2"/>
          </rPr>
          <t xml:space="preserve">
</t>
        </r>
      </text>
    </comment>
  </commentList>
</comments>
</file>

<file path=xl/sharedStrings.xml><?xml version="1.0" encoding="utf-8"?>
<sst xmlns="http://schemas.openxmlformats.org/spreadsheetml/2006/main" count="122" uniqueCount="99">
  <si>
    <t>p.a.</t>
  </si>
  <si>
    <t>Jahr</t>
  </si>
  <si>
    <t>Zinsen</t>
  </si>
  <si>
    <t xml:space="preserve">Ergebnis </t>
  </si>
  <si>
    <t>Die Veränderung dieser Dateien und die Weiterverbreitung veränderter Kopien ist ausdrücklich untersagt.</t>
  </si>
  <si>
    <t xml:space="preserve">Barwert </t>
  </si>
  <si>
    <t>Restschuld</t>
  </si>
  <si>
    <t>Tilgung</t>
  </si>
  <si>
    <t>Jahre</t>
  </si>
  <si>
    <t>Kapitalwert</t>
  </si>
  <si>
    <t>Links auf www.umweltinstitut.org:</t>
  </si>
  <si>
    <t>Finanzierung</t>
  </si>
  <si>
    <t>Eingaben</t>
  </si>
  <si>
    <t>Kd</t>
  </si>
  <si>
    <t>Wirkungsgrad Heizung</t>
  </si>
  <si>
    <t>CO2-Emissionsfaktor</t>
  </si>
  <si>
    <t>Diskontsatz</t>
  </si>
  <si>
    <t>Abzinsfaktor zur Ermittlung des Barwerts</t>
  </si>
  <si>
    <t>Ergebnisse</t>
  </si>
  <si>
    <t>Energieeinsparung</t>
  </si>
  <si>
    <t>CO2-Reduktion</t>
  </si>
  <si>
    <t>Dr. Alfred Körblein, Umweltinstitut München e.V.</t>
  </si>
  <si>
    <t>Einsparungen</t>
  </si>
  <si>
    <t>Die Exceltabelle wurde sorgfältig getestet. Dennoch kann für die Richtigkeit und die korrekte Funktion keine Gewähr übernommen werden.</t>
  </si>
  <si>
    <t>Anmerkungen</t>
  </si>
  <si>
    <t>Die Zellen sind gegen versehentliches Überschreiben geschützt.</t>
  </si>
  <si>
    <t>Zum Textbeitrag "Wirtschaftlichkeit von Wärmedämmmaßnahmen"</t>
  </si>
  <si>
    <t>Zinsbindung</t>
  </si>
  <si>
    <t>Zinssatz nach Zinsbindung</t>
  </si>
  <si>
    <t>Amortisationszeit</t>
  </si>
  <si>
    <t>z.B. 0,315 für Heizöl und 0,225 für Erdgas</t>
  </si>
  <si>
    <t>Zeitraum für Beurteilung der Wirtschaftlichkeit</t>
  </si>
  <si>
    <t>ct/kWh</t>
  </si>
  <si>
    <t>Inflationsrate</t>
  </si>
  <si>
    <t>Tilgungsfreie Zeit</t>
  </si>
  <si>
    <t>Interner Zinssatz</t>
  </si>
  <si>
    <t>Spezifische Kosten</t>
  </si>
  <si>
    <t>Zeitraum (20/25/30 Jahre)</t>
  </si>
  <si>
    <t>Die Excel-Tabelle daemmung.xls gestattet die Berechnung der Wirtschaftlichkeit von Wärmedämmmaßnahmen mithilfe der Barwertmethode. Sie liefert den Kapitalwert einer Investition, also die Summe der Barwerte der jährlichen Einsparungen, über einen Betrachtungszeitraum von wahlweise 20, 25 oder 30 Jahren. Die Maßnahme ist dann wirtschaftlich, wenn der Kapitalwert größer ist als Null.</t>
  </si>
  <si>
    <t>Copyright  Dr. Alfred Körblein</t>
  </si>
  <si>
    <t>(nach WSchVO 1995)</t>
  </si>
  <si>
    <t>kg CO2/kWh</t>
  </si>
  <si>
    <t>cm</t>
  </si>
  <si>
    <t>Dämmstärke</t>
  </si>
  <si>
    <t>U-Wert vor Dämmung</t>
  </si>
  <si>
    <t>U-Wert nach Dämmung:</t>
  </si>
  <si>
    <t>Umlage</t>
  </si>
  <si>
    <t>davon Instandhaltung</t>
  </si>
  <si>
    <t>Instandhaltungskosten sind nicht umlegbar!</t>
  </si>
  <si>
    <t xml:space="preserve">Der Blattschutz kann aufgehoben werden mit: </t>
  </si>
  <si>
    <t>/Extras/Schutz/Blattschutz entfernen.</t>
  </si>
  <si>
    <t>Steuervorteil</t>
  </si>
  <si>
    <t>Einkommensteuersatz</t>
  </si>
  <si>
    <t>€/m²</t>
  </si>
  <si>
    <t>W/m²K</t>
  </si>
  <si>
    <t>AfA</t>
  </si>
  <si>
    <t>Bereitstellung</t>
  </si>
  <si>
    <t>entspricht</t>
  </si>
  <si>
    <t>Lambdawert Dämmung</t>
  </si>
  <si>
    <t>W/mK</t>
  </si>
  <si>
    <t>Zinssatz</t>
  </si>
  <si>
    <t>aus Sicht des Mieters</t>
  </si>
  <si>
    <t>aus Sicht des Vermieters</t>
  </si>
  <si>
    <t>aus Sicht des Eigentümers</t>
  </si>
  <si>
    <t xml:space="preserve">mit gesetzlich zulässiger Umlage </t>
  </si>
  <si>
    <t>Null, wenn keine Abschreibung (AfA) möglich</t>
  </si>
  <si>
    <t>KfW-Darlehen</t>
  </si>
  <si>
    <t>Umlage der Kosten auf Miete</t>
  </si>
  <si>
    <t>mit gesetzlich zulässiger Umlage</t>
  </si>
  <si>
    <t>bzw. warmmietenneutrale Umlage</t>
  </si>
  <si>
    <t>Wirtschaftlichkeit aus Sicht des Eigentümers:</t>
  </si>
  <si>
    <t>selbstgenutzt</t>
  </si>
  <si>
    <t>Weiterhin stehen zinsvergünstigte Darlehen der Kreditanstalt für Wiederaufbau (KfW) zur Verfügung. Voraussetzung ist, dass der U-Wert nach Sanierung 0,2 W/m²K erreicht oder unterschreitet. Die Darlehen haben Laufzeiten von 10, 20 oder 30 Jahren bei 2, 3 und 5 tilgungsfreien Jahren. Die Zinsbindung beträgt 5 bzw. 10 Jahre. Die Konditionen können von der hompage der KfW heruntergeladen werden: www.kfW.de/152.</t>
  </si>
  <si>
    <t>Summe</t>
  </si>
  <si>
    <t>Die jährlichen Erträge berechnen sich aus der Differenz von Einnahmen und Ausgaben. Die Einnahmen sind die eingesparten Energiekosten, die Ausgaben der Kapitaldienst (bei Fremdfinanzierung z.B. durch ein KfW Darlehen). Bei Vermietung ist eine Umlage der Kosten auf die Miete zulässig in Höhe von 11% der Zusatzkosten für die Wärmedämmung. Sie führt zu einer überprortionalen Belastung der Mieter zugunsten der Vermieter und sollte auf ca. 8% oder 9% gesenkt werden.</t>
  </si>
  <si>
    <t>Laufzeit (10/20 Jahre)</t>
  </si>
  <si>
    <t>Wirtschaftlichkeit:  Wärmedämmung der Außenwand</t>
  </si>
  <si>
    <t>bei Vermietung</t>
  </si>
  <si>
    <t>im ersten Jahr:</t>
  </si>
  <si>
    <t>nach 10 Jahren:</t>
  </si>
  <si>
    <t>€/qm</t>
  </si>
  <si>
    <t>kWh/(qm*a)</t>
  </si>
  <si>
    <t>kg CO2/(qm*a)</t>
  </si>
  <si>
    <t>€/a pro qm Wandfläche</t>
  </si>
  <si>
    <t>€/a pro qm Wandfläche, inflationsbereinigt</t>
  </si>
  <si>
    <t>aus Mietersicht: Auswirkung auf die Warmmiete</t>
  </si>
  <si>
    <t>aktueller Zinsatz siehe:</t>
  </si>
  <si>
    <t>Energiepreis</t>
  </si>
  <si>
    <t>Darlehen</t>
  </si>
  <si>
    <t>Energiekostensteigerung</t>
  </si>
  <si>
    <t>Gradtagszahl vor Dämmung</t>
  </si>
  <si>
    <t>Gradtagszahl nach Dämmung</t>
  </si>
  <si>
    <t>(nach EnEV, vereinfacht)</t>
  </si>
  <si>
    <t>www.kfw.de/261</t>
  </si>
  <si>
    <t>ungedämmte Wand ca. 1 W/m²K</t>
  </si>
  <si>
    <t>1.10.2022</t>
  </si>
  <si>
    <t>€ pro l Heizöl oder cbm Erdgas</t>
  </si>
  <si>
    <t>Angebot einholen</t>
  </si>
  <si>
    <t>Falls Sie Fehler entdecken, Verbesserungsvorschläge oder Fragen haben, wenden Sie sich an Dr. Alfred Körblein  ak@umweltinstitut.org  oder  alfred.koerblein@gmx.de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</si>
</sst>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4" formatCode="0.0"/>
    <numFmt numFmtId="176" formatCode="0.000"/>
    <numFmt numFmtId="179" formatCode="0.0%"/>
    <numFmt numFmtId="185" formatCode="#,##0.0"/>
  </numFmts>
  <fonts count="33" x14ac:knownFonts="1">
    <font>
      <sz val="10"/>
      <name val="Arial"/>
    </font>
    <font>
      <sz val="10"/>
      <name val="Arial"/>
      <family val="2"/>
    </font>
    <font>
      <b/>
      <sz val="12"/>
      <color indexed="8"/>
      <name val="Arial"/>
      <family val="2"/>
    </font>
    <font>
      <sz val="10"/>
      <color indexed="8"/>
      <name val="Arial"/>
      <family val="2"/>
    </font>
    <font>
      <b/>
      <sz val="10"/>
      <color indexed="8"/>
      <name val="Arial"/>
      <family val="2"/>
    </font>
    <font>
      <u/>
      <sz val="10"/>
      <color indexed="12"/>
      <name val="Arial"/>
      <family val="2"/>
    </font>
    <font>
      <b/>
      <sz val="12"/>
      <name val="Arial"/>
      <family val="2"/>
    </font>
    <font>
      <b/>
      <sz val="10"/>
      <name val="Arial"/>
      <family val="2"/>
    </font>
    <font>
      <sz val="10"/>
      <name val="Arial"/>
      <family val="2"/>
    </font>
    <font>
      <sz val="10"/>
      <color indexed="10"/>
      <name val="Arial"/>
      <family val="2"/>
    </font>
    <font>
      <b/>
      <sz val="11"/>
      <name val="Calibri"/>
      <family val="2"/>
    </font>
    <font>
      <b/>
      <sz val="11"/>
      <color indexed="8"/>
      <name val="Calibri"/>
      <family val="2"/>
    </font>
    <font>
      <sz val="11"/>
      <name val="Calibri"/>
      <family val="2"/>
    </font>
    <font>
      <sz val="11"/>
      <color indexed="8"/>
      <name val="Calibri"/>
      <family val="2"/>
    </font>
    <font>
      <u/>
      <sz val="11"/>
      <color indexed="12"/>
      <name val="Calibri"/>
      <family val="2"/>
    </font>
    <font>
      <b/>
      <sz val="14"/>
      <name val="Calibri"/>
      <family val="2"/>
    </font>
    <font>
      <b/>
      <sz val="14"/>
      <color indexed="8"/>
      <name val="Calibri"/>
      <family val="2"/>
    </font>
    <font>
      <sz val="12"/>
      <color indexed="18"/>
      <name val="Arial"/>
      <family val="2"/>
    </font>
    <font>
      <sz val="10"/>
      <color indexed="18"/>
      <name val="Arial"/>
      <family val="2"/>
    </font>
    <font>
      <sz val="10"/>
      <color indexed="12"/>
      <name val="Arial"/>
      <family val="2"/>
    </font>
    <font>
      <b/>
      <sz val="10"/>
      <color indexed="12"/>
      <name val="Arial"/>
      <family val="2"/>
    </font>
    <font>
      <sz val="10"/>
      <color indexed="23"/>
      <name val="Arial"/>
      <family val="2"/>
    </font>
    <font>
      <b/>
      <sz val="10"/>
      <color indexed="18"/>
      <name val="Arial"/>
      <family val="2"/>
    </font>
    <font>
      <b/>
      <sz val="10"/>
      <color indexed="10"/>
      <name val="Arial"/>
      <family val="2"/>
    </font>
    <font>
      <b/>
      <sz val="9"/>
      <color indexed="81"/>
      <name val="Tahoma"/>
      <family val="2"/>
    </font>
    <font>
      <sz val="9"/>
      <color indexed="81"/>
      <name val="Tahoma"/>
      <family val="2"/>
    </font>
    <font>
      <sz val="11"/>
      <color rgb="FF9C6500"/>
      <name val="Calibri"/>
      <family val="2"/>
      <scheme val="minor"/>
    </font>
    <font>
      <sz val="10"/>
      <color theme="4"/>
      <name val="Arial"/>
      <family val="2"/>
    </font>
    <font>
      <b/>
      <sz val="10"/>
      <color rgb="FFFF0000"/>
      <name val="Arial"/>
      <family val="2"/>
    </font>
    <font>
      <b/>
      <sz val="10"/>
      <color rgb="FF002060"/>
      <name val="Arial"/>
      <family val="2"/>
    </font>
    <font>
      <sz val="10"/>
      <color rgb="FF002060"/>
      <name val="Arial"/>
      <family val="2"/>
    </font>
    <font>
      <sz val="10"/>
      <color theme="3"/>
      <name val="Arial"/>
      <family val="2"/>
    </font>
    <font>
      <sz val="8"/>
      <color indexed="8"/>
      <name val="Arial"/>
    </font>
  </fonts>
  <fills count="5">
    <fill>
      <patternFill patternType="none"/>
    </fill>
    <fill>
      <patternFill patternType="gray125"/>
    </fill>
    <fill>
      <patternFill patternType="solid">
        <fgColor indexed="26"/>
        <bgColor indexed="64"/>
      </patternFill>
    </fill>
    <fill>
      <patternFill patternType="solid">
        <fgColor rgb="FFFFEB9C"/>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alignment vertical="top"/>
      <protection locked="0"/>
    </xf>
    <xf numFmtId="0" fontId="26" fillId="3" borderId="0" applyNumberFormat="0" applyBorder="0" applyAlignment="0" applyProtection="0"/>
    <xf numFmtId="9" fontId="1" fillId="0" borderId="0" applyFont="0" applyFill="0" applyBorder="0" applyAlignment="0" applyProtection="0"/>
  </cellStyleXfs>
  <cellXfs count="125">
    <xf numFmtId="0" fontId="0" fillId="0" borderId="0" xfId="0"/>
    <xf numFmtId="4" fontId="2" fillId="0" borderId="0" xfId="0" applyNumberFormat="1" applyFont="1" applyFill="1" applyAlignment="1">
      <alignment horizontal="right"/>
    </xf>
    <xf numFmtId="4" fontId="3" fillId="0" borderId="0" xfId="0" applyNumberFormat="1" applyFont="1" applyFill="1" applyAlignment="1">
      <alignment horizontal="right"/>
    </xf>
    <xf numFmtId="3" fontId="2" fillId="0" borderId="0" xfId="0" applyNumberFormat="1" applyFont="1" applyFill="1" applyAlignment="1">
      <alignment horizontal="right"/>
    </xf>
    <xf numFmtId="3" fontId="3" fillId="0" borderId="0" xfId="0" applyNumberFormat="1" applyFont="1" applyFill="1" applyAlignment="1">
      <alignment horizontal="right"/>
    </xf>
    <xf numFmtId="0" fontId="6" fillId="0" borderId="0" xfId="0" applyFont="1" applyFill="1" applyAlignment="1">
      <alignment horizontal="left"/>
    </xf>
    <xf numFmtId="0" fontId="7" fillId="0" borderId="0" xfId="0" applyFont="1" applyFill="1" applyAlignment="1">
      <alignment horizontal="left"/>
    </xf>
    <xf numFmtId="0" fontId="6" fillId="0" borderId="0" xfId="0" applyFont="1" applyFill="1" applyAlignment="1">
      <alignment horizontal="right"/>
    </xf>
    <xf numFmtId="0" fontId="8" fillId="0" borderId="0" xfId="0" applyFont="1" applyFill="1" applyAlignment="1">
      <alignment horizontal="right"/>
    </xf>
    <xf numFmtId="4" fontId="4" fillId="0" borderId="0" xfId="0" applyNumberFormat="1" applyFont="1" applyAlignment="1">
      <alignment horizontal="right"/>
    </xf>
    <xf numFmtId="4" fontId="3" fillId="0" borderId="0" xfId="0" applyNumberFormat="1" applyFont="1" applyAlignment="1">
      <alignment horizontal="right"/>
    </xf>
    <xf numFmtId="3" fontId="3" fillId="0" borderId="0" xfId="0" applyNumberFormat="1" applyFont="1" applyAlignment="1">
      <alignment horizontal="right"/>
    </xf>
    <xf numFmtId="0" fontId="8" fillId="0" borderId="0" xfId="0" applyFont="1" applyAlignment="1">
      <alignment horizontal="right"/>
    </xf>
    <xf numFmtId="3" fontId="8" fillId="0" borderId="0" xfId="0" applyNumberFormat="1" applyFont="1" applyAlignment="1">
      <alignment horizontal="right"/>
    </xf>
    <xf numFmtId="4" fontId="8" fillId="0" borderId="0" xfId="0" applyNumberFormat="1" applyFont="1" applyAlignment="1">
      <alignment horizontal="right"/>
    </xf>
    <xf numFmtId="179" fontId="8" fillId="0" borderId="0" xfId="3" applyNumberFormat="1" applyFont="1"/>
    <xf numFmtId="179" fontId="9" fillId="0" borderId="0" xfId="3" applyNumberFormat="1" applyFont="1"/>
    <xf numFmtId="3" fontId="9" fillId="0" borderId="0" xfId="0" applyNumberFormat="1" applyFont="1" applyAlignment="1">
      <alignment horizontal="right"/>
    </xf>
    <xf numFmtId="4" fontId="9" fillId="0" borderId="0" xfId="0" applyNumberFormat="1" applyFont="1" applyAlignment="1">
      <alignment horizontal="right"/>
    </xf>
    <xf numFmtId="4" fontId="13" fillId="0" borderId="0" xfId="0" applyNumberFormat="1" applyFont="1" applyFill="1" applyAlignment="1">
      <alignment horizontal="right"/>
    </xf>
    <xf numFmtId="4" fontId="13" fillId="0" borderId="0" xfId="0" applyNumberFormat="1" applyFont="1" applyFill="1" applyAlignment="1">
      <alignment horizontal="center"/>
    </xf>
    <xf numFmtId="4" fontId="16" fillId="0" borderId="0" xfId="0" applyNumberFormat="1" applyFont="1" applyFill="1" applyAlignment="1">
      <alignment horizontal="right"/>
    </xf>
    <xf numFmtId="4" fontId="16" fillId="0" borderId="0" xfId="0" applyNumberFormat="1" applyFont="1" applyFill="1" applyAlignment="1">
      <alignment horizontal="center"/>
    </xf>
    <xf numFmtId="0" fontId="10" fillId="0" borderId="0" xfId="0" applyFont="1" applyFill="1"/>
    <xf numFmtId="0" fontId="12" fillId="0" borderId="0" xfId="0" applyFont="1" applyFill="1"/>
    <xf numFmtId="0" fontId="12" fillId="0" borderId="0" xfId="0" applyFont="1" applyAlignment="1">
      <alignment wrapText="1"/>
    </xf>
    <xf numFmtId="0" fontId="12" fillId="0" borderId="0" xfId="0" applyFont="1"/>
    <xf numFmtId="0" fontId="15" fillId="0" borderId="0" xfId="0" applyFont="1" applyFill="1"/>
    <xf numFmtId="4" fontId="4" fillId="0" borderId="0" xfId="0" applyNumberFormat="1" applyFont="1" applyFill="1" applyAlignment="1">
      <alignment horizontal="left"/>
    </xf>
    <xf numFmtId="3" fontId="4" fillId="0" borderId="0" xfId="0" applyNumberFormat="1" applyFont="1" applyFill="1" applyAlignment="1">
      <alignment horizontal="left"/>
    </xf>
    <xf numFmtId="0" fontId="12" fillId="0" borderId="1" xfId="0" applyFont="1" applyBorder="1" applyAlignment="1">
      <alignment wrapText="1"/>
    </xf>
    <xf numFmtId="49" fontId="11" fillId="2" borderId="1" xfId="0" applyNumberFormat="1" applyFont="1" applyFill="1" applyBorder="1" applyAlignment="1">
      <alignment horizontal="left"/>
    </xf>
    <xf numFmtId="3" fontId="14" fillId="2" borderId="1" xfId="1" applyNumberFormat="1" applyFont="1" applyFill="1" applyBorder="1" applyAlignment="1" applyProtection="1">
      <alignment horizontal="left"/>
    </xf>
    <xf numFmtId="4" fontId="17" fillId="0" borderId="0" xfId="0" applyNumberFormat="1" applyFont="1" applyFill="1" applyAlignment="1" applyProtection="1">
      <alignment horizontal="center"/>
    </xf>
    <xf numFmtId="4" fontId="2" fillId="0" borderId="0" xfId="0" applyNumberFormat="1" applyFont="1" applyFill="1" applyAlignment="1">
      <alignment horizontal="center"/>
    </xf>
    <xf numFmtId="4" fontId="18" fillId="0" borderId="0" xfId="0" applyNumberFormat="1" applyFont="1" applyFill="1" applyAlignment="1" applyProtection="1">
      <alignment horizontal="center"/>
    </xf>
    <xf numFmtId="4" fontId="4" fillId="0" borderId="0" xfId="0" applyNumberFormat="1" applyFont="1" applyFill="1" applyAlignment="1">
      <alignment horizontal="right"/>
    </xf>
    <xf numFmtId="4" fontId="4" fillId="0" borderId="0" xfId="0" applyNumberFormat="1" applyFont="1" applyFill="1" applyAlignment="1">
      <alignment horizontal="center"/>
    </xf>
    <xf numFmtId="4" fontId="19" fillId="0" borderId="0" xfId="0" applyNumberFormat="1" applyFont="1" applyFill="1" applyAlignment="1" applyProtection="1">
      <alignment horizontal="center"/>
    </xf>
    <xf numFmtId="4" fontId="20" fillId="0" borderId="0" xfId="0" applyNumberFormat="1" applyFont="1" applyFill="1" applyAlignment="1">
      <alignment horizontal="right"/>
    </xf>
    <xf numFmtId="4" fontId="20" fillId="0" borderId="0" xfId="0" applyNumberFormat="1" applyFont="1" applyFill="1" applyAlignment="1">
      <alignment horizontal="center"/>
    </xf>
    <xf numFmtId="4" fontId="3" fillId="0" borderId="0" xfId="0" applyNumberFormat="1" applyFont="1" applyFill="1" applyAlignment="1">
      <alignment horizontal="center"/>
    </xf>
    <xf numFmtId="3" fontId="18" fillId="0" borderId="0" xfId="0" applyNumberFormat="1" applyFont="1" applyFill="1" applyAlignment="1" applyProtection="1">
      <alignment horizontal="left"/>
    </xf>
    <xf numFmtId="3" fontId="3" fillId="0" borderId="0" xfId="0" applyNumberFormat="1" applyFont="1" applyFill="1"/>
    <xf numFmtId="9" fontId="3" fillId="0" borderId="0" xfId="0" applyNumberFormat="1" applyFont="1" applyFill="1"/>
    <xf numFmtId="179" fontId="9" fillId="0" borderId="0" xfId="0" applyNumberFormat="1" applyFont="1" applyFill="1"/>
    <xf numFmtId="179" fontId="3" fillId="0" borderId="0" xfId="0" applyNumberFormat="1" applyFont="1" applyFill="1"/>
    <xf numFmtId="4" fontId="22" fillId="0" borderId="0" xfId="0" applyNumberFormat="1" applyFont="1" applyFill="1" applyAlignment="1" applyProtection="1">
      <alignment horizontal="center"/>
    </xf>
    <xf numFmtId="179" fontId="4" fillId="0" borderId="0" xfId="0" applyNumberFormat="1" applyFont="1" applyFill="1"/>
    <xf numFmtId="179" fontId="23" fillId="0" borderId="0" xfId="0" applyNumberFormat="1" applyFont="1" applyFill="1"/>
    <xf numFmtId="3" fontId="3" fillId="0" borderId="0" xfId="0" applyNumberFormat="1" applyFont="1" applyFill="1" applyAlignment="1">
      <alignment horizontal="left"/>
    </xf>
    <xf numFmtId="0" fontId="1" fillId="0" borderId="0" xfId="0" applyFont="1" applyAlignment="1">
      <alignment horizontal="right"/>
    </xf>
    <xf numFmtId="1" fontId="8" fillId="0" borderId="2" xfId="0" applyNumberFormat="1" applyFont="1" applyFill="1" applyBorder="1" applyProtection="1">
      <protection locked="0" hidden="1"/>
    </xf>
    <xf numFmtId="2" fontId="8" fillId="0" borderId="2" xfId="0" applyNumberFormat="1" applyFont="1" applyFill="1" applyBorder="1" applyProtection="1">
      <protection locked="0" hidden="1"/>
    </xf>
    <xf numFmtId="176" fontId="8" fillId="0" borderId="2" xfId="0" applyNumberFormat="1" applyFont="1" applyFill="1" applyBorder="1" applyProtection="1">
      <protection locked="0" hidden="1"/>
    </xf>
    <xf numFmtId="0" fontId="8" fillId="0" borderId="2" xfId="0" applyFont="1" applyFill="1" applyBorder="1" applyProtection="1">
      <protection locked="0" hidden="1"/>
    </xf>
    <xf numFmtId="9" fontId="8" fillId="0" borderId="2" xfId="3" applyFont="1" applyFill="1" applyBorder="1" applyProtection="1">
      <protection locked="0" hidden="1"/>
    </xf>
    <xf numFmtId="174" fontId="8" fillId="0" borderId="2" xfId="0" applyNumberFormat="1" applyFont="1" applyFill="1" applyBorder="1" applyProtection="1">
      <protection locked="0" hidden="1"/>
    </xf>
    <xf numFmtId="179" fontId="8" fillId="0" borderId="2" xfId="3" applyNumberFormat="1" applyFont="1" applyFill="1" applyBorder="1" applyProtection="1">
      <protection locked="0" hidden="1"/>
    </xf>
    <xf numFmtId="9" fontId="8" fillId="0" borderId="2" xfId="0" applyNumberFormat="1" applyFont="1" applyFill="1" applyBorder="1" applyProtection="1">
      <protection locked="0" hidden="1"/>
    </xf>
    <xf numFmtId="0" fontId="8" fillId="0" borderId="3" xfId="0" applyFont="1" applyFill="1" applyBorder="1" applyProtection="1">
      <protection locked="0" hidden="1"/>
    </xf>
    <xf numFmtId="3" fontId="1" fillId="0" borderId="0" xfId="0" applyNumberFormat="1" applyFont="1" applyAlignment="1">
      <alignment horizontal="right"/>
    </xf>
    <xf numFmtId="10" fontId="1" fillId="0" borderId="2" xfId="3" applyNumberFormat="1" applyFont="1" applyFill="1" applyBorder="1" applyProtection="1">
      <protection locked="0" hidden="1"/>
    </xf>
    <xf numFmtId="1" fontId="1" fillId="0" borderId="2" xfId="0" applyNumberFormat="1" applyFont="1" applyFill="1" applyBorder="1" applyProtection="1">
      <protection locked="0" hidden="1"/>
    </xf>
    <xf numFmtId="0" fontId="1" fillId="0" borderId="2" xfId="0" applyFont="1" applyFill="1" applyBorder="1" applyProtection="1">
      <protection locked="0" hidden="1"/>
    </xf>
    <xf numFmtId="179" fontId="1" fillId="0" borderId="2" xfId="3" applyNumberFormat="1" applyFont="1" applyFill="1" applyBorder="1" applyProtection="1">
      <protection locked="0" hidden="1"/>
    </xf>
    <xf numFmtId="3" fontId="4" fillId="0" borderId="0" xfId="0" applyNumberFormat="1" applyFont="1" applyAlignment="1">
      <alignment horizontal="left"/>
    </xf>
    <xf numFmtId="4" fontId="4" fillId="0" borderId="0" xfId="0" applyNumberFormat="1" applyFont="1" applyAlignment="1">
      <alignment horizontal="left"/>
    </xf>
    <xf numFmtId="185" fontId="4" fillId="0" borderId="0" xfId="0" applyNumberFormat="1" applyFont="1" applyAlignment="1">
      <alignment horizontal="right"/>
    </xf>
    <xf numFmtId="2" fontId="8" fillId="0" borderId="0" xfId="3" applyNumberFormat="1" applyFont="1"/>
    <xf numFmtId="0" fontId="8" fillId="0" borderId="0" xfId="0" applyFont="1" applyFill="1" applyAlignment="1">
      <alignment horizontal="left"/>
    </xf>
    <xf numFmtId="4" fontId="3" fillId="0" borderId="0" xfId="0" applyNumberFormat="1" applyFont="1" applyFill="1" applyAlignment="1">
      <alignment horizontal="left"/>
    </xf>
    <xf numFmtId="179" fontId="4" fillId="0" borderId="2" xfId="2" applyNumberFormat="1" applyFont="1" applyFill="1" applyBorder="1" applyAlignment="1">
      <alignment horizontal="right"/>
    </xf>
    <xf numFmtId="4" fontId="4" fillId="0" borderId="3" xfId="2" applyNumberFormat="1" applyFont="1" applyFill="1" applyBorder="1" applyAlignment="1">
      <alignment horizontal="right"/>
    </xf>
    <xf numFmtId="0" fontId="7" fillId="4" borderId="0" xfId="0" applyFont="1" applyFill="1" applyBorder="1"/>
    <xf numFmtId="4" fontId="18" fillId="4" borderId="0" xfId="0" applyNumberFormat="1" applyFont="1" applyFill="1" applyBorder="1" applyAlignment="1" applyProtection="1">
      <alignment horizontal="center"/>
    </xf>
    <xf numFmtId="0" fontId="19" fillId="4" borderId="0" xfId="0" applyFont="1" applyFill="1" applyBorder="1"/>
    <xf numFmtId="4" fontId="19" fillId="4" borderId="0" xfId="0" applyNumberFormat="1" applyFont="1" applyFill="1" applyBorder="1" applyAlignment="1" applyProtection="1">
      <alignment horizontal="center"/>
    </xf>
    <xf numFmtId="0" fontId="8" fillId="4" borderId="0" xfId="0" applyFont="1" applyFill="1" applyBorder="1"/>
    <xf numFmtId="3" fontId="18" fillId="4" borderId="0" xfId="0" applyNumberFormat="1" applyFont="1" applyFill="1" applyBorder="1" applyAlignment="1" applyProtection="1">
      <alignment horizontal="left"/>
    </xf>
    <xf numFmtId="1" fontId="8" fillId="0" borderId="4" xfId="0" applyNumberFormat="1" applyFont="1" applyFill="1" applyBorder="1" applyProtection="1">
      <protection locked="0" hidden="1"/>
    </xf>
    <xf numFmtId="0" fontId="21" fillId="4" borderId="0" xfId="0" applyFont="1" applyFill="1" applyBorder="1"/>
    <xf numFmtId="4" fontId="21" fillId="4" borderId="0" xfId="0" applyNumberFormat="1" applyFont="1" applyFill="1" applyBorder="1" applyAlignment="1" applyProtection="1">
      <alignment horizontal="center"/>
    </xf>
    <xf numFmtId="0" fontId="1" fillId="4" borderId="0" xfId="0" applyFont="1" applyFill="1" applyBorder="1"/>
    <xf numFmtId="4" fontId="21" fillId="4" borderId="0" xfId="0" applyNumberFormat="1" applyFont="1" applyFill="1" applyBorder="1" applyAlignment="1">
      <alignment horizontal="left"/>
    </xf>
    <xf numFmtId="0" fontId="9" fillId="4" borderId="0" xfId="0" applyFont="1" applyFill="1" applyBorder="1"/>
    <xf numFmtId="179" fontId="8" fillId="4" borderId="0" xfId="3" applyNumberFormat="1" applyFont="1" applyFill="1" applyBorder="1"/>
    <xf numFmtId="4" fontId="3" fillId="4" borderId="0" xfId="0" applyNumberFormat="1" applyFont="1" applyFill="1" applyBorder="1" applyAlignment="1">
      <alignment horizontal="center"/>
    </xf>
    <xf numFmtId="1" fontId="1" fillId="0" borderId="4" xfId="0" applyNumberFormat="1" applyFont="1" applyFill="1" applyBorder="1" applyProtection="1">
      <protection locked="0" hidden="1"/>
    </xf>
    <xf numFmtId="9" fontId="21" fillId="4" borderId="0" xfId="3" applyFont="1" applyFill="1" applyBorder="1" applyAlignment="1">
      <alignment horizontal="left"/>
    </xf>
    <xf numFmtId="0" fontId="5" fillId="4" borderId="0" xfId="1" applyFill="1" applyBorder="1" applyAlignment="1" applyProtection="1"/>
    <xf numFmtId="4" fontId="5" fillId="4" borderId="0" xfId="1" applyNumberFormat="1" applyFont="1" applyFill="1" applyBorder="1" applyAlignment="1" applyProtection="1">
      <alignment horizontal="center"/>
    </xf>
    <xf numFmtId="0" fontId="5" fillId="4" borderId="0" xfId="1" applyFont="1" applyFill="1" applyBorder="1" applyAlignment="1" applyProtection="1"/>
    <xf numFmtId="4" fontId="9" fillId="4" borderId="0" xfId="0" applyNumberFormat="1" applyFont="1" applyFill="1" applyBorder="1" applyAlignment="1">
      <alignment horizontal="center"/>
    </xf>
    <xf numFmtId="4" fontId="4" fillId="4" borderId="0" xfId="0" applyNumberFormat="1" applyFont="1" applyFill="1" applyBorder="1" applyAlignment="1">
      <alignment horizontal="center"/>
    </xf>
    <xf numFmtId="4" fontId="7" fillId="4" borderId="0" xfId="0" applyNumberFormat="1" applyFont="1" applyFill="1" applyBorder="1" applyAlignment="1" applyProtection="1">
      <alignment horizontal="left"/>
    </xf>
    <xf numFmtId="4" fontId="22" fillId="4" borderId="0" xfId="0" applyNumberFormat="1" applyFont="1" applyFill="1" applyBorder="1" applyAlignment="1" applyProtection="1">
      <alignment horizontal="center"/>
    </xf>
    <xf numFmtId="0" fontId="27" fillId="4" borderId="0" xfId="0" applyFont="1" applyFill="1" applyBorder="1"/>
    <xf numFmtId="3" fontId="28" fillId="0" borderId="4" xfId="2" applyNumberFormat="1" applyFont="1" applyFill="1" applyBorder="1" applyAlignment="1">
      <alignment horizontal="right"/>
    </xf>
    <xf numFmtId="0" fontId="6" fillId="4" borderId="0" xfId="0" applyFont="1" applyFill="1" applyBorder="1" applyAlignment="1">
      <alignment horizontal="left"/>
    </xf>
    <xf numFmtId="0" fontId="6" fillId="4" borderId="0" xfId="0" applyFont="1" applyFill="1" applyBorder="1"/>
    <xf numFmtId="4" fontId="17" fillId="4" borderId="0" xfId="0" applyNumberFormat="1" applyFont="1" applyFill="1" applyBorder="1" applyAlignment="1" applyProtection="1">
      <alignment horizontal="center"/>
    </xf>
    <xf numFmtId="0" fontId="7" fillId="4" borderId="0" xfId="0" applyFont="1" applyFill="1" applyBorder="1" applyAlignment="1">
      <alignment horizontal="left"/>
    </xf>
    <xf numFmtId="49" fontId="7" fillId="4" borderId="0" xfId="0" applyNumberFormat="1" applyFont="1" applyFill="1" applyBorder="1" applyAlignment="1">
      <alignment horizontal="left"/>
    </xf>
    <xf numFmtId="0" fontId="8" fillId="4" borderId="0" xfId="0" applyFont="1" applyFill="1" applyBorder="1" applyAlignment="1">
      <alignment horizontal="left"/>
    </xf>
    <xf numFmtId="0" fontId="1" fillId="4" borderId="0" xfId="0" applyFont="1" applyFill="1" applyBorder="1" applyAlignment="1">
      <alignment horizontal="left"/>
    </xf>
    <xf numFmtId="0" fontId="7" fillId="4" borderId="0" xfId="0" applyFont="1" applyFill="1" applyBorder="1" applyAlignment="1"/>
    <xf numFmtId="4" fontId="4" fillId="0" borderId="0" xfId="0" applyNumberFormat="1" applyFont="1" applyFill="1" applyAlignment="1"/>
    <xf numFmtId="4" fontId="1" fillId="4" borderId="0" xfId="0" applyNumberFormat="1" applyFont="1" applyFill="1" applyBorder="1" applyAlignment="1" applyProtection="1">
      <alignment horizontal="left"/>
    </xf>
    <xf numFmtId="4" fontId="7" fillId="4" borderId="0" xfId="0" applyNumberFormat="1" applyFont="1" applyFill="1" applyBorder="1" applyAlignment="1" applyProtection="1">
      <alignment horizontal="right"/>
    </xf>
    <xf numFmtId="4" fontId="7" fillId="4" borderId="0" xfId="0" applyNumberFormat="1" applyFont="1" applyFill="1" applyBorder="1"/>
    <xf numFmtId="4" fontId="4" fillId="4" borderId="0" xfId="0" applyNumberFormat="1" applyFont="1" applyFill="1" applyAlignment="1"/>
    <xf numFmtId="1" fontId="1" fillId="0" borderId="3" xfId="0" applyNumberFormat="1" applyFont="1" applyFill="1" applyBorder="1" applyProtection="1">
      <protection locked="0" hidden="1"/>
    </xf>
    <xf numFmtId="174" fontId="28" fillId="0" borderId="3" xfId="2" applyNumberFormat="1" applyFont="1" applyFill="1" applyBorder="1"/>
    <xf numFmtId="4" fontId="1" fillId="4" borderId="0" xfId="0" applyNumberFormat="1" applyFont="1" applyFill="1" applyBorder="1" applyAlignment="1" applyProtection="1">
      <alignment horizontal="right"/>
    </xf>
    <xf numFmtId="4" fontId="1" fillId="4" borderId="0" xfId="0" applyNumberFormat="1" applyFont="1" applyFill="1" applyBorder="1" applyAlignment="1" applyProtection="1">
      <alignment horizontal="center"/>
    </xf>
    <xf numFmtId="2" fontId="1" fillId="4" borderId="0" xfId="0" applyNumberFormat="1" applyFont="1" applyFill="1" applyBorder="1" applyAlignment="1">
      <alignment horizontal="right"/>
    </xf>
    <xf numFmtId="4" fontId="1" fillId="4" borderId="0" xfId="0" applyNumberFormat="1" applyFont="1" applyFill="1" applyBorder="1" applyAlignment="1">
      <alignment horizontal="right"/>
    </xf>
    <xf numFmtId="4" fontId="7" fillId="4" borderId="0" xfId="0" applyNumberFormat="1" applyFont="1" applyFill="1" applyBorder="1" applyAlignment="1">
      <alignment horizontal="center"/>
    </xf>
    <xf numFmtId="4" fontId="1" fillId="4" borderId="0" xfId="0" applyNumberFormat="1" applyFont="1" applyFill="1" applyBorder="1" applyAlignment="1">
      <alignment horizontal="left"/>
    </xf>
    <xf numFmtId="4" fontId="1" fillId="4" borderId="0" xfId="0" applyNumberFormat="1" applyFont="1" applyFill="1" applyBorder="1" applyAlignment="1">
      <alignment horizontal="center"/>
    </xf>
    <xf numFmtId="49" fontId="29" fillId="4" borderId="0" xfId="0" applyNumberFormat="1" applyFont="1" applyFill="1" applyBorder="1" applyAlignment="1">
      <alignment horizontal="left"/>
    </xf>
    <xf numFmtId="0" fontId="30" fillId="4" borderId="0" xfId="0" applyFont="1" applyFill="1" applyBorder="1"/>
    <xf numFmtId="0" fontId="31" fillId="4" borderId="0" xfId="0" applyFont="1" applyFill="1" applyBorder="1"/>
    <xf numFmtId="1" fontId="28" fillId="0" borderId="4" xfId="2" applyNumberFormat="1" applyFont="1" applyFill="1" applyBorder="1"/>
  </cellXfs>
  <cellStyles count="4">
    <cellStyle name="Link" xfId="1" builtinId="8"/>
    <cellStyle name="Neutral" xfId="2" builtinId="28"/>
    <cellStyle name="Prozent" xfId="3"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chartsheet" Target="chartsheets/sheet2.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1040676175382989"/>
          <c:y val="5.3435114503816793E-2"/>
          <c:w val="0.87374537770734284"/>
          <c:h val="0.77353689567430028"/>
        </c:manualLayout>
      </c:layout>
      <c:barChart>
        <c:barDir val="col"/>
        <c:grouping val="clustered"/>
        <c:varyColors val="0"/>
        <c:ser>
          <c:idx val="1"/>
          <c:order val="0"/>
          <c:spPr>
            <a:solidFill>
              <a:srgbClr val="C0C0C0"/>
            </a:solidFill>
            <a:ln w="25400">
              <a:noFill/>
            </a:ln>
          </c:spPr>
          <c:invertIfNegative val="0"/>
          <c:cat>
            <c:numRef>
              <c:f>Berechnung!$A$8:$A$33</c:f>
              <c:numCache>
                <c:formatCode>#,##0</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Berechnung!$G$8:$G$33</c:f>
              <c:numCache>
                <c:formatCode>#,##0.00</c:formatCode>
                <c:ptCount val="26"/>
                <c:pt idx="0">
                  <c:v>-50</c:v>
                </c:pt>
                <c:pt idx="1">
                  <c:v>6.9133965844402274</c:v>
                </c:pt>
                <c:pt idx="2">
                  <c:v>7.0740645161290319</c:v>
                </c:pt>
                <c:pt idx="3">
                  <c:v>-2.762054193548388</c:v>
                </c:pt>
                <c:pt idx="4">
                  <c:v>-2.4548952774193555</c:v>
                </c:pt>
                <c:pt idx="5">
                  <c:v>-2.1443931829677414</c:v>
                </c:pt>
                <c:pt idx="6">
                  <c:v>-1.8304810466270958</c:v>
                </c:pt>
                <c:pt idx="7">
                  <c:v>-1.5130906675596396</c:v>
                </c:pt>
                <c:pt idx="8">
                  <c:v>-1.1921524809108313</c:v>
                </c:pt>
                <c:pt idx="9">
                  <c:v>-0.86759553052904792</c:v>
                </c:pt>
                <c:pt idx="10">
                  <c:v>-0.53934744113962907</c:v>
                </c:pt>
                <c:pt idx="11">
                  <c:v>9.7926656100375791</c:v>
                </c:pt>
                <c:pt idx="12">
                  <c:v>9.988518922238331</c:v>
                </c:pt>
                <c:pt idx="13">
                  <c:v>10.188289300683097</c:v>
                </c:pt>
                <c:pt idx="14">
                  <c:v>10.392055086696759</c:v>
                </c:pt>
                <c:pt idx="15">
                  <c:v>10.599896188430694</c:v>
                </c:pt>
                <c:pt idx="16">
                  <c:v>10.811894112199308</c:v>
                </c:pt>
                <c:pt idx="17">
                  <c:v>11.028131994443294</c:v>
                </c:pt>
                <c:pt idx="18">
                  <c:v>11.248694634332161</c:v>
                </c:pt>
                <c:pt idx="19">
                  <c:v>11.473668527018804</c:v>
                </c:pt>
                <c:pt idx="20">
                  <c:v>11.703141897559179</c:v>
                </c:pt>
                <c:pt idx="21">
                  <c:v>11.937204735510363</c:v>
                </c:pt>
                <c:pt idx="22">
                  <c:v>12.175948830220571</c:v>
                </c:pt>
                <c:pt idx="23">
                  <c:v>12.419467806824983</c:v>
                </c:pt>
                <c:pt idx="24">
                  <c:v>12.667857162961482</c:v>
                </c:pt>
                <c:pt idx="25">
                  <c:v>12.921214306220712</c:v>
                </c:pt>
              </c:numCache>
            </c:numRef>
          </c:val>
          <c:extLst>
            <c:ext xmlns:c16="http://schemas.microsoft.com/office/drawing/2014/chart" uri="{C3380CC4-5D6E-409C-BE32-E72D297353CC}">
              <c16:uniqueId val="{00000000-4285-4781-9C18-3EB0E9DA14D1}"/>
            </c:ext>
          </c:extLst>
        </c:ser>
        <c:dLbls>
          <c:showLegendKey val="0"/>
          <c:showVal val="0"/>
          <c:showCatName val="0"/>
          <c:showSerName val="0"/>
          <c:showPercent val="0"/>
          <c:showBubbleSize val="0"/>
        </c:dLbls>
        <c:gapWidth val="150"/>
        <c:axId val="725407872"/>
        <c:axId val="1"/>
      </c:barChart>
      <c:catAx>
        <c:axId val="725407872"/>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de-DE"/>
                  <a:t>Zeit [Jahre]</a:t>
                </a:r>
              </a:p>
            </c:rich>
          </c:tx>
          <c:layout>
            <c:manualLayout>
              <c:xMode val="edge"/>
              <c:yMode val="edge"/>
              <c:x val="0.47702060221870046"/>
              <c:y val="0.9058526186764726"/>
            </c:manualLayout>
          </c:layout>
          <c:overlay val="0"/>
          <c:spPr>
            <a:noFill/>
            <a:ln w="25400">
              <a:noFill/>
            </a:ln>
          </c:spPr>
        </c:title>
        <c:numFmt formatCode="#,##0"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de-DE"/>
                  <a:t>Jahresergebnis [Euro]</a:t>
                </a:r>
              </a:p>
            </c:rich>
          </c:tx>
          <c:layout>
            <c:manualLayout>
              <c:xMode val="edge"/>
              <c:yMode val="edge"/>
              <c:x val="1.7432646592709985E-2"/>
              <c:y val="0.23918595200980589"/>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725407872"/>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1040676175382989"/>
          <c:y val="5.3435114503816793E-2"/>
          <c:w val="0.87374537770734284"/>
          <c:h val="0.77353689567430028"/>
        </c:manualLayout>
      </c:layout>
      <c:barChart>
        <c:barDir val="col"/>
        <c:grouping val="clustered"/>
        <c:varyColors val="0"/>
        <c:ser>
          <c:idx val="1"/>
          <c:order val="0"/>
          <c:spPr>
            <a:solidFill>
              <a:srgbClr val="C0C0C0"/>
            </a:solidFill>
            <a:ln w="25400">
              <a:noFill/>
            </a:ln>
          </c:spPr>
          <c:invertIfNegative val="0"/>
          <c:cat>
            <c:numRef>
              <c:f>Berechnung!$A$8:$A$33</c:f>
              <c:numCache>
                <c:formatCode>#,##0</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Berechnung!$J$8:$J$33</c:f>
              <c:numCache>
                <c:formatCode>#,##0.00</c:formatCode>
                <c:ptCount val="26"/>
                <c:pt idx="0">
                  <c:v>-50</c:v>
                </c:pt>
                <c:pt idx="1">
                  <c:v>-43.086603415559772</c:v>
                </c:pt>
                <c:pt idx="2">
                  <c:v>-36.21857961349275</c:v>
                </c:pt>
                <c:pt idx="3">
                  <c:v>-38.822080597137195</c:v>
                </c:pt>
                <c:pt idx="4">
                  <c:v>-41.068657534852981</c:v>
                </c:pt>
                <c:pt idx="5">
                  <c:v>-42.973923103558519</c:v>
                </c:pt>
                <c:pt idx="6">
                  <c:v>-44.552912134027771</c:v>
                </c:pt>
                <c:pt idx="7">
                  <c:v>-45.820101747043928</c:v>
                </c:pt>
                <c:pt idx="8">
                  <c:v>-46.789430809499443</c:v>
                </c:pt>
                <c:pt idx="9">
                  <c:v>-47.474318732948575</c:v>
                </c:pt>
                <c:pt idx="10">
                  <c:v>-47.887683636384708</c:v>
                </c:pt>
                <c:pt idx="11">
                  <c:v>-40.601020745337316</c:v>
                </c:pt>
                <c:pt idx="12">
                  <c:v>-33.385102154203011</c:v>
                </c:pt>
                <c:pt idx="13">
                  <c:v>-26.239241025118549</c:v>
                </c:pt>
                <c:pt idx="14">
                  <c:v>-19.16275718854947</c:v>
                </c:pt>
                <c:pt idx="15">
                  <c:v>-12.154977078549024</c:v>
                </c:pt>
                <c:pt idx="16">
                  <c:v>-5.21523366864567</c:v>
                </c:pt>
                <c:pt idx="17">
                  <c:v>1.6571335916469732</c:v>
                </c:pt>
                <c:pt idx="18">
                  <c:v>8.4627788397037662</c:v>
                </c:pt>
                <c:pt idx="19">
                  <c:v>15.202349862051269</c:v>
                </c:pt>
                <c:pt idx="20">
                  <c:v>21.876488156026468</c:v>
                </c:pt>
                <c:pt idx="21">
                  <c:v>28.485828990836858</c:v>
                </c:pt>
                <c:pt idx="22">
                  <c:v>35.031001468027732</c:v>
                </c:pt>
                <c:pt idx="23">
                  <c:v>41.512628581362378</c:v>
                </c:pt>
                <c:pt idx="24">
                  <c:v>47.93132727612096</c:v>
                </c:pt>
                <c:pt idx="25">
                  <c:v>54.287708507823638</c:v>
                </c:pt>
              </c:numCache>
            </c:numRef>
          </c:val>
          <c:extLst>
            <c:ext xmlns:c16="http://schemas.microsoft.com/office/drawing/2014/chart" uri="{C3380CC4-5D6E-409C-BE32-E72D297353CC}">
              <c16:uniqueId val="{00000000-37AC-453E-8BC7-6BC9AAB10E3A}"/>
            </c:ext>
          </c:extLst>
        </c:ser>
        <c:dLbls>
          <c:showLegendKey val="0"/>
          <c:showVal val="0"/>
          <c:showCatName val="0"/>
          <c:showSerName val="0"/>
          <c:showPercent val="0"/>
          <c:showBubbleSize val="0"/>
        </c:dLbls>
        <c:gapWidth val="150"/>
        <c:axId val="664029568"/>
        <c:axId val="1"/>
      </c:barChart>
      <c:catAx>
        <c:axId val="66402956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de-DE"/>
                  <a:t>Zeit [Jahre]</a:t>
                </a:r>
              </a:p>
            </c:rich>
          </c:tx>
          <c:layout>
            <c:manualLayout>
              <c:xMode val="edge"/>
              <c:yMode val="edge"/>
              <c:x val="0.47702060221870046"/>
              <c:y val="0.9058526186764726"/>
            </c:manualLayout>
          </c:layout>
          <c:overlay val="0"/>
          <c:spPr>
            <a:noFill/>
            <a:ln w="25400">
              <a:noFill/>
            </a:ln>
          </c:spPr>
        </c:title>
        <c:numFmt formatCode="#,##0"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de-DE"/>
                  <a:t>Kapitalwert [Euro]</a:t>
                </a:r>
              </a:p>
            </c:rich>
          </c:tx>
          <c:layout>
            <c:manualLayout>
              <c:xMode val="edge"/>
              <c:yMode val="edge"/>
              <c:x val="1.7432646592709985E-2"/>
              <c:y val="0.2773534780233689"/>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664029568"/>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1040676175382991"/>
          <c:y val="5.3435114503816793E-2"/>
          <c:w val="0.87374537770734284"/>
          <c:h val="0.7735368956743004"/>
        </c:manualLayout>
      </c:layout>
      <c:barChart>
        <c:barDir val="col"/>
        <c:grouping val="clustered"/>
        <c:varyColors val="0"/>
        <c:ser>
          <c:idx val="1"/>
          <c:order val="0"/>
          <c:spPr>
            <a:solidFill>
              <a:srgbClr val="C0C0C0"/>
            </a:solidFill>
            <a:ln w="25400">
              <a:noFill/>
            </a:ln>
          </c:spPr>
          <c:invertIfNegative val="0"/>
          <c:cat>
            <c:numRef>
              <c:f>Berechnung!$A$8:$A$33</c:f>
              <c:numCache>
                <c:formatCode>#,##0</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Berechnung!$N$8:$N$33</c:f>
              <c:numCache>
                <c:formatCode>#,##0.00</c:formatCode>
                <c:ptCount val="26"/>
                <c:pt idx="0">
                  <c:v>-50</c:v>
                </c:pt>
                <c:pt idx="1">
                  <c:v>5.28</c:v>
                </c:pt>
                <c:pt idx="2">
                  <c:v>5.4080000000000004</c:v>
                </c:pt>
                <c:pt idx="3">
                  <c:v>-4.4614399999999996</c:v>
                </c:pt>
                <c:pt idx="4">
                  <c:v>-4.1882687999999995</c:v>
                </c:pt>
                <c:pt idx="5">
                  <c:v>-3.9124341759999988</c:v>
                </c:pt>
                <c:pt idx="6">
                  <c:v>-3.633882859519999</c:v>
                </c:pt>
                <c:pt idx="7">
                  <c:v>-3.3525605167103993</c:v>
                </c:pt>
                <c:pt idx="8">
                  <c:v>-3.068411727044607</c:v>
                </c:pt>
                <c:pt idx="9">
                  <c:v>-2.7813799615854995</c:v>
                </c:pt>
                <c:pt idx="10">
                  <c:v>-2.4914075608172084</c:v>
                </c:pt>
                <c:pt idx="11">
                  <c:v>7.8015642879664471</c:v>
                </c:pt>
                <c:pt idx="12">
                  <c:v>7.9575955737257758</c:v>
                </c:pt>
                <c:pt idx="13">
                  <c:v>8.1167474852002908</c:v>
                </c:pt>
                <c:pt idx="14">
                  <c:v>8.2790824349042964</c:v>
                </c:pt>
                <c:pt idx="15">
                  <c:v>8.4446640836023832</c:v>
                </c:pt>
                <c:pt idx="16">
                  <c:v>8.6135573652744313</c:v>
                </c:pt>
                <c:pt idx="17">
                  <c:v>8.7858285125799203</c:v>
                </c:pt>
                <c:pt idx="18">
                  <c:v>8.9615450828315186</c:v>
                </c:pt>
                <c:pt idx="19">
                  <c:v>9.1407759844881493</c:v>
                </c:pt>
                <c:pt idx="20">
                  <c:v>9.3235915041779123</c:v>
                </c:pt>
                <c:pt idx="21">
                  <c:v>9.5100633342614707</c:v>
                </c:pt>
                <c:pt idx="22">
                  <c:v>9.7002646009467011</c:v>
                </c:pt>
                <c:pt idx="23">
                  <c:v>9.8942698929656352</c:v>
                </c:pt>
                <c:pt idx="24">
                  <c:v>10.092155290824948</c:v>
                </c:pt>
                <c:pt idx="25">
                  <c:v>10.293998396641447</c:v>
                </c:pt>
              </c:numCache>
            </c:numRef>
          </c:val>
          <c:extLst>
            <c:ext xmlns:c16="http://schemas.microsoft.com/office/drawing/2014/chart" uri="{C3380CC4-5D6E-409C-BE32-E72D297353CC}">
              <c16:uniqueId val="{00000000-E2A5-4053-84F9-E695F6671ECF}"/>
            </c:ext>
          </c:extLst>
        </c:ser>
        <c:dLbls>
          <c:showLegendKey val="0"/>
          <c:showVal val="0"/>
          <c:showCatName val="0"/>
          <c:showSerName val="0"/>
          <c:showPercent val="0"/>
          <c:showBubbleSize val="0"/>
        </c:dLbls>
        <c:gapWidth val="150"/>
        <c:axId val="726234240"/>
        <c:axId val="1"/>
      </c:barChart>
      <c:catAx>
        <c:axId val="72623424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de-DE"/>
                  <a:t>Zeit [Jahre]</a:t>
                </a:r>
              </a:p>
            </c:rich>
          </c:tx>
          <c:layout>
            <c:manualLayout>
              <c:xMode val="edge"/>
              <c:yMode val="edge"/>
              <c:x val="0.47702060221870046"/>
              <c:y val="0.9058526186764726"/>
            </c:manualLayout>
          </c:layout>
          <c:overlay val="0"/>
          <c:spPr>
            <a:noFill/>
            <a:ln w="25400">
              <a:noFill/>
            </a:ln>
          </c:spPr>
        </c:title>
        <c:numFmt formatCode="#,##0"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de-DE"/>
                  <a:t>Jahresergebnis [Euro]</a:t>
                </a:r>
              </a:p>
            </c:rich>
          </c:tx>
          <c:layout>
            <c:manualLayout>
              <c:xMode val="edge"/>
              <c:yMode val="edge"/>
              <c:x val="1.7432646592709985E-2"/>
              <c:y val="0.23918595200980589"/>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726234240"/>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1040676175382991"/>
          <c:y val="5.3435114503816793E-2"/>
          <c:w val="0.87374537770734284"/>
          <c:h val="0.7735368956743004"/>
        </c:manualLayout>
      </c:layout>
      <c:barChart>
        <c:barDir val="col"/>
        <c:grouping val="clustered"/>
        <c:varyColors val="0"/>
        <c:ser>
          <c:idx val="1"/>
          <c:order val="0"/>
          <c:spPr>
            <a:solidFill>
              <a:srgbClr val="C0C0C0"/>
            </a:solidFill>
            <a:ln w="25400">
              <a:noFill/>
            </a:ln>
          </c:spPr>
          <c:invertIfNegative val="0"/>
          <c:cat>
            <c:numRef>
              <c:f>Berechnung!$A$8:$A$33</c:f>
              <c:numCache>
                <c:formatCode>#,##0</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Berechnung!$P$8:$P$33</c:f>
              <c:numCache>
                <c:formatCode>#,##0.00</c:formatCode>
                <c:ptCount val="26"/>
                <c:pt idx="0">
                  <c:v>-50</c:v>
                </c:pt>
                <c:pt idx="1">
                  <c:v>-44.72</c:v>
                </c:pt>
                <c:pt idx="2">
                  <c:v>-39.469514563106799</c:v>
                </c:pt>
                <c:pt idx="3">
                  <c:v>-43.674849655952499</c:v>
                </c:pt>
                <c:pt idx="4">
                  <c:v>-47.507708915401565</c:v>
                </c:pt>
                <c:pt idx="5">
                  <c:v>-50.983856006600256</c:v>
                </c:pt>
                <c:pt idx="6">
                  <c:v>-54.11847528264525</c:v>
                </c:pt>
                <c:pt idx="7">
                  <c:v>-56.926191934969424</c:v>
                </c:pt>
                <c:pt idx="8">
                  <c:v>-59.421091463535795</c:v>
                </c:pt>
                <c:pt idx="9">
                  <c:v>-61.616738489347128</c:v>
                </c:pt>
                <c:pt idx="10">
                  <c:v>-63.526194931044856</c:v>
                </c:pt>
                <c:pt idx="11">
                  <c:v>-57.721098417693419</c:v>
                </c:pt>
                <c:pt idx="12">
                  <c:v>-51.972362064665788</c:v>
                </c:pt>
                <c:pt idx="13">
                  <c:v>-46.27943868593939</c:v>
                </c:pt>
                <c:pt idx="14">
                  <c:v>-40.641786407977328</c:v>
                </c:pt>
                <c:pt idx="15">
                  <c:v>-35.058868618150818</c:v>
                </c:pt>
                <c:pt idx="16">
                  <c:v>-29.530153913662431</c:v>
                </c:pt>
                <c:pt idx="17">
                  <c:v>-24.055116050965193</c:v>
                </c:pt>
                <c:pt idx="18">
                  <c:v>-18.633233895672781</c:v>
                </c:pt>
                <c:pt idx="19">
                  <c:v>-13.263991372956024</c:v>
                </c:pt>
                <c:pt idx="20">
                  <c:v>-7.9468774184209829</c:v>
                </c:pt>
                <c:pt idx="21">
                  <c:v>-2.6813859294639517</c:v>
                </c:pt>
                <c:pt idx="22">
                  <c:v>2.532984282901265</c:v>
                </c:pt>
                <c:pt idx="23">
                  <c:v>7.6967295417483719</c:v>
                </c:pt>
                <c:pt idx="24">
                  <c:v>12.810341351480458</c:v>
                </c:pt>
                <c:pt idx="25">
                  <c:v>17.874306444613204</c:v>
                </c:pt>
              </c:numCache>
            </c:numRef>
          </c:val>
          <c:extLst>
            <c:ext xmlns:c16="http://schemas.microsoft.com/office/drawing/2014/chart" uri="{C3380CC4-5D6E-409C-BE32-E72D297353CC}">
              <c16:uniqueId val="{00000000-53F3-436F-94CB-468C4F528930}"/>
            </c:ext>
          </c:extLst>
        </c:ser>
        <c:dLbls>
          <c:showLegendKey val="0"/>
          <c:showVal val="0"/>
          <c:showCatName val="0"/>
          <c:showSerName val="0"/>
          <c:showPercent val="0"/>
          <c:showBubbleSize val="0"/>
        </c:dLbls>
        <c:gapWidth val="150"/>
        <c:axId val="869025616"/>
        <c:axId val="1"/>
      </c:barChart>
      <c:catAx>
        <c:axId val="86902561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de-DE"/>
                  <a:t>Zeit [Jahre]</a:t>
                </a:r>
              </a:p>
            </c:rich>
          </c:tx>
          <c:layout>
            <c:manualLayout>
              <c:xMode val="edge"/>
              <c:yMode val="edge"/>
              <c:x val="0.47702060221870046"/>
              <c:y val="0.9058526186764726"/>
            </c:manualLayout>
          </c:layout>
          <c:overlay val="0"/>
          <c:spPr>
            <a:noFill/>
            <a:ln w="25400">
              <a:noFill/>
            </a:ln>
          </c:spPr>
        </c:title>
        <c:numFmt formatCode="#,##0"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de-DE"/>
                  <a:t>Kapitalwert [Euro]</a:t>
                </a:r>
              </a:p>
            </c:rich>
          </c:tx>
          <c:layout>
            <c:manualLayout>
              <c:xMode val="edge"/>
              <c:yMode val="edge"/>
              <c:x val="1.7432646592709985E-2"/>
              <c:y val="0.2773534780233689"/>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869025616"/>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chartSpace>
</file>

<file path=xl/chartsheets/_rels/sheet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customSheetViews>
    <customSheetView guid="{36051EDE-EE05-46A8-9481-5CD2E0A132E3}" scale="75">
      <pageMargins left="0.78740157480314965" right="0.78740157480314965" top="0.98425196850393704" bottom="5.9055118110236222" header="0.51181102362204722" footer="0.51181102362204722"/>
      <pageSetup paperSize="9" orientation="portrait" r:id="rId1"/>
      <headerFooter alignWithMargins="0">
        <oddHeader>&amp;F</oddHeader>
        <oddFooter>&amp;A</oddFooter>
      </headerFooter>
    </customSheetView>
  </customSheetViews>
  <pageMargins left="0.78740157480314965" right="0.78740157480314965" top="0.78740157480314965" bottom="6.6929133858267722" header="0.51181102362204722" footer="0.51181102362204722"/>
  <pageSetup paperSize="9" orientation="portrait" r:id="rId2"/>
  <headerFooter alignWithMargins="0">
    <oddHeader>&amp;F</oddHeader>
    <oddFooter>&amp;A</oddFooter>
  </headerFooter>
  <drawing r:id="rId3"/>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78740157480314965" right="0.78740157480314965" top="0.78740157480314965" bottom="6.6929133858267722" header="0.51181102362204722" footer="0.51181102362204722"/>
  <pageSetup paperSize="9" orientation="portrait" r:id="rId1"/>
  <headerFooter alignWithMargins="0">
    <oddHeader>&amp;F</oddHeader>
    <oddFooter>&amp;A</oddFooter>
  </headerFooter>
  <drawing r:id="rId2"/>
</chartsheet>
</file>

<file path=xl/chartsheets/sheet3.xml><?xml version="1.0" encoding="utf-8"?>
<chartsheet xmlns="http://schemas.openxmlformats.org/spreadsheetml/2006/main" xmlns:r="http://schemas.openxmlformats.org/officeDocument/2006/relationships">
  <sheetPr/>
  <sheetViews>
    <sheetView workbookViewId="0"/>
  </sheetViews>
  <sheetProtection content="1" objects="1"/>
  <pageMargins left="0.78740157480314965" right="0.78740157480314965" top="0.78740157480314965" bottom="6.6929133858267722" header="0.51181102362204722" footer="0.51181102362204722"/>
  <pageSetup paperSize="9" orientation="portrait" r:id="rId1"/>
  <headerFooter alignWithMargins="0">
    <oddHeader>&amp;F</oddHeader>
    <oddFooter>&amp;A</oddFoot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sheetProtection content="1" objects="1"/>
  <pageMargins left="0.78740157480314965" right="0.78740157480314965" top="0.78740157480314965" bottom="6.6929133858267722" header="0.51181102362204722" footer="0.51181102362204722"/>
  <pageSetup paperSize="9" orientation="portrait" r:id="rId1"/>
  <headerFooter alignWithMargins="0">
    <oddHeader>&amp;F</oddHeader>
    <oddFooter>&amp;A</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4899660</xdr:colOff>
      <xdr:row>0</xdr:row>
      <xdr:rowOff>0</xdr:rowOff>
    </xdr:from>
    <xdr:to>
      <xdr:col>0</xdr:col>
      <xdr:colOff>6758940</xdr:colOff>
      <xdr:row>3</xdr:row>
      <xdr:rowOff>350520</xdr:rowOff>
    </xdr:to>
    <xdr:pic>
      <xdr:nvPicPr>
        <xdr:cNvPr id="2118" name="Picture 1" descr="C:\Dokumente und Einstellungen\aw\Desktop\Umweltinstitut-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9660" y="0"/>
          <a:ext cx="185928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259080</xdr:colOff>
      <xdr:row>0</xdr:row>
      <xdr:rowOff>0</xdr:rowOff>
    </xdr:from>
    <xdr:to>
      <xdr:col>7</xdr:col>
      <xdr:colOff>731520</xdr:colOff>
      <xdr:row>5</xdr:row>
      <xdr:rowOff>137160</xdr:rowOff>
    </xdr:to>
    <xdr:pic>
      <xdr:nvPicPr>
        <xdr:cNvPr id="1108" name="Picture 1" descr="C:\Dokumente und Einstellungen\aw\Desktop\Umweltinstitut-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0" y="0"/>
          <a:ext cx="20955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6004560" cy="372618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6004560" cy="372618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004560" cy="372618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004560" cy="372618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umweltinstitut.org/frames/all/m344.htm"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kfw.de/261" TargetMode="Externa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topLeftCell="A4" workbookViewId="0">
      <selection activeCell="A8" sqref="A8:IV9"/>
    </sheetView>
  </sheetViews>
  <sheetFormatPr baseColWidth="10" defaultColWidth="11.44140625" defaultRowHeight="14.4" x14ac:dyDescent="0.3"/>
  <cols>
    <col min="1" max="1" width="98.6640625" style="25" customWidth="1"/>
    <col min="2" max="16384" width="11.44140625" style="26"/>
  </cols>
  <sheetData>
    <row r="1" spans="1:14" s="22" customFormat="1" ht="18" x14ac:dyDescent="0.35">
      <c r="A1" s="27" t="str">
        <f>Parameter!A1</f>
        <v>Wirtschaftlichkeit:  Wärmedämmung der Außenwand</v>
      </c>
      <c r="B1" s="27"/>
      <c r="C1" s="27"/>
      <c r="D1" s="27"/>
      <c r="E1" s="27"/>
      <c r="F1" s="27"/>
      <c r="G1" s="21"/>
      <c r="H1" s="21"/>
      <c r="I1" s="21"/>
      <c r="J1" s="21"/>
      <c r="K1" s="21"/>
      <c r="L1" s="21"/>
      <c r="M1" s="21"/>
      <c r="N1" s="21"/>
    </row>
    <row r="2" spans="1:14" s="20" customFormat="1" x14ac:dyDescent="0.3">
      <c r="A2" s="23" t="str">
        <f>Parameter!A2</f>
        <v>Dr. Alfred Körblein, Umweltinstitut München e.V.</v>
      </c>
      <c r="B2" s="24"/>
      <c r="C2" s="24"/>
      <c r="D2" s="24"/>
      <c r="E2" s="24"/>
      <c r="F2" s="24"/>
      <c r="G2" s="19"/>
      <c r="H2" s="19"/>
      <c r="I2" s="19"/>
      <c r="J2" s="19"/>
      <c r="K2" s="19"/>
      <c r="L2" s="19"/>
      <c r="M2" s="19"/>
      <c r="N2" s="19"/>
    </row>
    <row r="3" spans="1:14" s="20" customFormat="1" x14ac:dyDescent="0.3">
      <c r="A3" s="23" t="str">
        <f>Parameter!A3</f>
        <v>1.10.2022</v>
      </c>
      <c r="B3" s="24"/>
      <c r="C3" s="24"/>
      <c r="D3" s="24"/>
      <c r="E3" s="24"/>
      <c r="F3" s="24"/>
      <c r="G3" s="19"/>
      <c r="H3" s="19"/>
      <c r="I3" s="19"/>
      <c r="J3" s="19"/>
      <c r="K3" s="19"/>
      <c r="L3" s="19"/>
      <c r="M3" s="19"/>
      <c r="N3" s="19"/>
    </row>
    <row r="4" spans="1:14" s="20" customFormat="1" ht="41.25" customHeight="1" x14ac:dyDescent="0.3">
      <c r="A4" s="24"/>
      <c r="B4" s="24"/>
      <c r="C4" s="24"/>
      <c r="D4" s="24"/>
      <c r="E4" s="24"/>
      <c r="F4" s="24"/>
      <c r="G4" s="19"/>
      <c r="H4" s="19"/>
      <c r="I4" s="19"/>
      <c r="J4" s="19"/>
      <c r="K4" s="19"/>
      <c r="L4" s="19"/>
      <c r="M4" s="19"/>
      <c r="N4" s="19"/>
    </row>
    <row r="5" spans="1:14" ht="69" customHeight="1" x14ac:dyDescent="0.3">
      <c r="A5" s="30" t="s">
        <v>38</v>
      </c>
    </row>
    <row r="6" spans="1:14" ht="87" customHeight="1" x14ac:dyDescent="0.3">
      <c r="A6" s="30" t="s">
        <v>74</v>
      </c>
    </row>
    <row r="7" spans="1:14" ht="66" customHeight="1" x14ac:dyDescent="0.3">
      <c r="A7" s="30" t="s">
        <v>72</v>
      </c>
    </row>
    <row r="8" spans="1:14" ht="24.75" customHeight="1" x14ac:dyDescent="0.3">
      <c r="A8" s="31" t="s">
        <v>10</v>
      </c>
    </row>
    <row r="9" spans="1:14" ht="15.75" customHeight="1" x14ac:dyDescent="0.3">
      <c r="A9" s="32" t="s">
        <v>26</v>
      </c>
    </row>
    <row r="10" spans="1:14" ht="38.25" customHeight="1" x14ac:dyDescent="0.3">
      <c r="A10" s="30" t="s">
        <v>23</v>
      </c>
    </row>
    <row r="11" spans="1:14" ht="29.25" customHeight="1" x14ac:dyDescent="0.3">
      <c r="A11" s="30" t="s">
        <v>4</v>
      </c>
    </row>
    <row r="12" spans="1:14" ht="30.75" customHeight="1" x14ac:dyDescent="0.3">
      <c r="A12" s="30" t="s">
        <v>98</v>
      </c>
    </row>
    <row r="13" spans="1:14" ht="22.5" customHeight="1" x14ac:dyDescent="0.3">
      <c r="A13" s="30" t="s">
        <v>39</v>
      </c>
    </row>
  </sheetData>
  <sheetProtection sheet="1" objects="1" scenarios="1"/>
  <customSheetViews>
    <customSheetView guid="{36051EDE-EE05-46A8-9481-5CD2E0A132E3}" showRuler="0" topLeftCell="A7">
      <selection activeCell="C7" sqref="C7"/>
      <pageMargins left="0.75" right="0.75" top="1" bottom="1" header="0.4921259845" footer="0.4921259845"/>
      <pageSetup paperSize="9" orientation="portrait" horizontalDpi="0" verticalDpi="300" r:id="rId1"/>
      <headerFooter alignWithMargins="0">
        <oddHeader>&amp;F</oddHeader>
        <oddFooter>&amp;A</oddFooter>
      </headerFooter>
    </customSheetView>
  </customSheetViews>
  <phoneticPr fontId="0" type="noConversion"/>
  <hyperlinks>
    <hyperlink ref="A9" r:id="rId2"/>
  </hyperlinks>
  <pageMargins left="0.75" right="0.75" top="1" bottom="1" header="0.4921259845" footer="0.4921259845"/>
  <pageSetup paperSize="9" orientation="portrait" verticalDpi="300" r:id="rId3"/>
  <headerFooter alignWithMargins="0">
    <oddHeader>&amp;F</oddHeader>
    <oddFooter>&amp;A</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6"/>
  <sheetViews>
    <sheetView tabSelected="1" zoomScaleNormal="100" workbookViewId="0">
      <selection activeCell="B50" sqref="B50"/>
    </sheetView>
  </sheetViews>
  <sheetFormatPr baseColWidth="10" defaultColWidth="8.6640625" defaultRowHeight="14.25" customHeight="1" x14ac:dyDescent="0.25"/>
  <cols>
    <col min="1" max="1" width="25.5546875" style="50" customWidth="1"/>
    <col min="2" max="2" width="8.88671875" style="2" customWidth="1"/>
    <col min="3" max="3" width="13.33203125" style="2" customWidth="1"/>
    <col min="4" max="4" width="8.44140625" style="41" customWidth="1"/>
    <col min="5" max="5" width="6.6640625" style="2" customWidth="1"/>
    <col min="6" max="6" width="9" style="2" customWidth="1"/>
    <col min="7" max="7" width="8" style="2" customWidth="1"/>
    <col min="8" max="8" width="13.33203125" style="2" customWidth="1"/>
    <col min="9" max="12" width="20.33203125" style="2" customWidth="1"/>
    <col min="13" max="14" width="8.6640625" style="2" customWidth="1"/>
    <col min="15" max="16384" width="8.6640625" style="41"/>
  </cols>
  <sheetData>
    <row r="1" spans="1:14" s="34" customFormat="1" ht="17.25" customHeight="1" x14ac:dyDescent="0.3">
      <c r="A1" s="99" t="s">
        <v>76</v>
      </c>
      <c r="B1" s="100"/>
      <c r="C1" s="100"/>
      <c r="D1" s="100"/>
      <c r="E1" s="100"/>
      <c r="F1" s="100"/>
      <c r="G1" s="101"/>
      <c r="H1" s="101"/>
      <c r="I1" s="33"/>
      <c r="J1" s="33"/>
      <c r="K1" s="1"/>
      <c r="L1" s="1"/>
      <c r="M1" s="1"/>
      <c r="N1" s="1"/>
    </row>
    <row r="2" spans="1:14" s="37" customFormat="1" ht="18" customHeight="1" x14ac:dyDescent="0.25">
      <c r="A2" s="102" t="s">
        <v>21</v>
      </c>
      <c r="B2" s="74"/>
      <c r="C2" s="74"/>
      <c r="D2" s="74"/>
      <c r="E2" s="74"/>
      <c r="F2" s="74"/>
      <c r="G2" s="75"/>
      <c r="H2" s="75"/>
      <c r="I2" s="35"/>
      <c r="J2" s="35"/>
      <c r="K2" s="36"/>
      <c r="L2" s="36"/>
      <c r="M2" s="36"/>
      <c r="N2" s="36"/>
    </row>
    <row r="3" spans="1:14" s="37" customFormat="1" ht="14.25" customHeight="1" x14ac:dyDescent="0.25">
      <c r="A3" s="103" t="s">
        <v>95</v>
      </c>
      <c r="B3" s="74"/>
      <c r="C3" s="74"/>
      <c r="D3" s="74"/>
      <c r="E3" s="74"/>
      <c r="F3" s="74"/>
      <c r="G3" s="75"/>
      <c r="H3" s="75"/>
      <c r="I3" s="35"/>
      <c r="J3" s="35"/>
      <c r="K3" s="36"/>
      <c r="L3" s="36"/>
      <c r="M3" s="36"/>
      <c r="N3" s="36"/>
    </row>
    <row r="4" spans="1:14" s="37" customFormat="1" ht="14.25" customHeight="1" x14ac:dyDescent="0.25">
      <c r="A4" s="103"/>
      <c r="B4" s="74"/>
      <c r="C4" s="74"/>
      <c r="D4" s="74"/>
      <c r="E4" s="74"/>
      <c r="F4" s="74"/>
      <c r="G4" s="75"/>
      <c r="H4" s="75"/>
      <c r="I4" s="35"/>
      <c r="J4" s="35"/>
      <c r="K4" s="36"/>
      <c r="L4" s="36"/>
      <c r="M4" s="36"/>
      <c r="N4" s="36"/>
    </row>
    <row r="5" spans="1:14" s="37" customFormat="1" ht="14.25" customHeight="1" x14ac:dyDescent="0.25">
      <c r="A5" s="103"/>
      <c r="B5" s="74"/>
      <c r="C5" s="74"/>
      <c r="D5" s="74"/>
      <c r="E5" s="74"/>
      <c r="F5" s="74"/>
      <c r="G5" s="75"/>
      <c r="H5" s="75"/>
      <c r="I5" s="35"/>
      <c r="J5" s="35"/>
      <c r="K5" s="36"/>
      <c r="L5" s="36"/>
      <c r="M5" s="36"/>
      <c r="N5" s="36"/>
    </row>
    <row r="6" spans="1:14" s="40" customFormat="1" ht="14.25" customHeight="1" x14ac:dyDescent="0.25">
      <c r="A6" s="121" t="s">
        <v>25</v>
      </c>
      <c r="B6" s="122"/>
      <c r="C6" s="97"/>
      <c r="D6" s="97"/>
      <c r="E6" s="76"/>
      <c r="F6" s="76"/>
      <c r="G6" s="77"/>
      <c r="H6" s="77"/>
      <c r="I6" s="38"/>
      <c r="J6" s="38"/>
      <c r="K6" s="39"/>
      <c r="L6" s="39"/>
      <c r="M6" s="39"/>
      <c r="N6" s="39"/>
    </row>
    <row r="7" spans="1:14" s="40" customFormat="1" ht="14.25" customHeight="1" x14ac:dyDescent="0.25">
      <c r="A7" s="121" t="s">
        <v>49</v>
      </c>
      <c r="B7" s="122"/>
      <c r="C7" s="97"/>
      <c r="D7" s="97"/>
      <c r="E7" s="76"/>
      <c r="F7" s="76"/>
      <c r="G7" s="77"/>
      <c r="H7" s="77"/>
      <c r="I7" s="38"/>
      <c r="J7" s="38"/>
      <c r="K7" s="39"/>
      <c r="L7" s="39"/>
      <c r="M7" s="39"/>
      <c r="N7" s="39"/>
    </row>
    <row r="8" spans="1:14" s="40" customFormat="1" ht="14.25" customHeight="1" x14ac:dyDescent="0.25">
      <c r="A8" s="121" t="s">
        <v>50</v>
      </c>
      <c r="B8" s="122"/>
      <c r="C8" s="97"/>
      <c r="D8" s="97"/>
      <c r="E8" s="76"/>
      <c r="F8" s="123"/>
      <c r="G8" s="77"/>
      <c r="H8" s="77"/>
      <c r="I8" s="38"/>
      <c r="J8" s="38"/>
      <c r="K8" s="39"/>
      <c r="L8" s="39"/>
      <c r="M8" s="39"/>
      <c r="N8" s="39"/>
    </row>
    <row r="9" spans="1:14" ht="14.25" customHeight="1" x14ac:dyDescent="0.25">
      <c r="A9" s="104"/>
      <c r="B9" s="78"/>
      <c r="C9" s="78"/>
      <c r="D9" s="78"/>
      <c r="E9" s="78"/>
      <c r="F9" s="78"/>
      <c r="G9" s="75"/>
      <c r="H9" s="75"/>
      <c r="I9" s="35"/>
      <c r="J9" s="35"/>
    </row>
    <row r="10" spans="1:14" ht="14.25" customHeight="1" x14ac:dyDescent="0.25">
      <c r="A10" s="104"/>
      <c r="B10" s="78"/>
      <c r="C10" s="78"/>
      <c r="D10" s="78"/>
      <c r="E10" s="78"/>
      <c r="F10" s="78"/>
      <c r="G10" s="75"/>
      <c r="H10" s="75"/>
      <c r="I10" s="35"/>
      <c r="J10" s="35"/>
    </row>
    <row r="11" spans="1:14" s="42" customFormat="1" ht="14.25" customHeight="1" x14ac:dyDescent="0.25">
      <c r="A11" s="102" t="s">
        <v>12</v>
      </c>
      <c r="B11" s="74"/>
      <c r="C11" s="74"/>
      <c r="D11" s="74" t="s">
        <v>24</v>
      </c>
      <c r="E11" s="79"/>
      <c r="F11" s="79"/>
      <c r="G11" s="75"/>
      <c r="H11" s="75"/>
      <c r="I11" s="35"/>
      <c r="J11" s="35"/>
    </row>
    <row r="12" spans="1:14" s="35" customFormat="1" ht="14.25" customHeight="1" x14ac:dyDescent="0.25">
      <c r="A12" s="104" t="s">
        <v>36</v>
      </c>
      <c r="B12" s="80">
        <v>130</v>
      </c>
      <c r="C12" s="78" t="s">
        <v>53</v>
      </c>
      <c r="D12" s="83" t="s">
        <v>97</v>
      </c>
      <c r="E12" s="114"/>
      <c r="F12" s="114"/>
      <c r="G12" s="115"/>
      <c r="H12" s="115"/>
    </row>
    <row r="13" spans="1:14" s="35" customFormat="1" ht="14.25" customHeight="1" x14ac:dyDescent="0.25">
      <c r="A13" s="104" t="s">
        <v>47</v>
      </c>
      <c r="B13" s="52">
        <v>50</v>
      </c>
      <c r="C13" s="83" t="s">
        <v>53</v>
      </c>
      <c r="D13" s="83" t="s">
        <v>48</v>
      </c>
      <c r="E13" s="114"/>
      <c r="F13" s="114"/>
      <c r="G13" s="115"/>
      <c r="H13" s="115"/>
    </row>
    <row r="14" spans="1:14" s="35" customFormat="1" ht="14.25" customHeight="1" x14ac:dyDescent="0.25">
      <c r="A14" s="104" t="s">
        <v>44</v>
      </c>
      <c r="B14" s="53">
        <v>1</v>
      </c>
      <c r="C14" s="78" t="s">
        <v>54</v>
      </c>
      <c r="D14" s="83" t="s">
        <v>94</v>
      </c>
      <c r="E14" s="114"/>
      <c r="F14" s="114"/>
      <c r="G14" s="115"/>
      <c r="H14" s="115"/>
    </row>
    <row r="15" spans="1:14" s="35" customFormat="1" ht="14.25" customHeight="1" x14ac:dyDescent="0.25">
      <c r="A15" s="105" t="s">
        <v>58</v>
      </c>
      <c r="B15" s="54">
        <v>3.5000000000000003E-2</v>
      </c>
      <c r="C15" s="83" t="s">
        <v>59</v>
      </c>
      <c r="D15" s="83"/>
      <c r="E15" s="114"/>
      <c r="F15" s="114"/>
      <c r="G15" s="115"/>
      <c r="H15" s="115"/>
    </row>
    <row r="16" spans="1:14" s="35" customFormat="1" ht="14.25" customHeight="1" x14ac:dyDescent="0.25">
      <c r="A16" s="104" t="s">
        <v>43</v>
      </c>
      <c r="B16" s="52">
        <v>12</v>
      </c>
      <c r="C16" s="78" t="s">
        <v>42</v>
      </c>
      <c r="D16" s="83" t="s">
        <v>45</v>
      </c>
      <c r="E16" s="83"/>
      <c r="F16" s="83"/>
      <c r="G16" s="116">
        <f>B15*B14/(B15+B16/100*B14)</f>
        <v>0.22580645161290325</v>
      </c>
      <c r="H16" s="83" t="s">
        <v>54</v>
      </c>
    </row>
    <row r="17" spans="1:14" ht="14.25" customHeight="1" x14ac:dyDescent="0.25">
      <c r="A17" s="105" t="s">
        <v>90</v>
      </c>
      <c r="B17" s="55">
        <v>3500</v>
      </c>
      <c r="C17" s="78" t="s">
        <v>13</v>
      </c>
      <c r="D17" s="83" t="s">
        <v>40</v>
      </c>
      <c r="E17" s="117"/>
      <c r="F17" s="117"/>
      <c r="G17" s="115"/>
      <c r="H17" s="115"/>
      <c r="I17" s="35"/>
      <c r="J17" s="35"/>
    </row>
    <row r="18" spans="1:14" ht="14.25" customHeight="1" x14ac:dyDescent="0.25">
      <c r="A18" s="105" t="s">
        <v>91</v>
      </c>
      <c r="B18" s="55">
        <v>2900</v>
      </c>
      <c r="C18" s="78" t="s">
        <v>13</v>
      </c>
      <c r="D18" s="83" t="s">
        <v>92</v>
      </c>
      <c r="E18" s="117"/>
      <c r="F18" s="117"/>
      <c r="G18" s="115"/>
      <c r="H18" s="115"/>
      <c r="I18" s="35"/>
      <c r="J18" s="35"/>
    </row>
    <row r="19" spans="1:14" ht="14.25" customHeight="1" x14ac:dyDescent="0.25">
      <c r="A19" s="104" t="s">
        <v>14</v>
      </c>
      <c r="B19" s="56">
        <v>0.85</v>
      </c>
      <c r="C19" s="78"/>
      <c r="D19" s="83"/>
      <c r="E19" s="117"/>
      <c r="F19" s="117"/>
      <c r="G19" s="115"/>
      <c r="H19" s="115"/>
      <c r="I19" s="35"/>
      <c r="J19" s="35"/>
    </row>
    <row r="20" spans="1:14" s="37" customFormat="1" ht="14.25" customHeight="1" x14ac:dyDescent="0.25">
      <c r="A20" s="104" t="s">
        <v>15</v>
      </c>
      <c r="B20" s="55">
        <v>0.22500000000000001</v>
      </c>
      <c r="C20" s="78" t="s">
        <v>41</v>
      </c>
      <c r="D20" s="83" t="s">
        <v>30</v>
      </c>
      <c r="E20" s="118"/>
      <c r="F20" s="118"/>
      <c r="G20" s="115"/>
      <c r="H20" s="115"/>
      <c r="I20" s="35"/>
      <c r="J20" s="35"/>
      <c r="K20" s="36"/>
      <c r="L20" s="2"/>
      <c r="M20" s="2"/>
      <c r="N20" s="2"/>
    </row>
    <row r="21" spans="1:14" s="37" customFormat="1" ht="14.25" customHeight="1" x14ac:dyDescent="0.25">
      <c r="A21" s="105" t="s">
        <v>67</v>
      </c>
      <c r="B21" s="59">
        <v>0.08</v>
      </c>
      <c r="C21" s="83" t="s">
        <v>0</v>
      </c>
      <c r="D21" s="83"/>
      <c r="E21" s="118"/>
      <c r="F21" s="118"/>
      <c r="G21" s="115"/>
      <c r="H21" s="115"/>
      <c r="I21" s="35"/>
      <c r="J21" s="35"/>
      <c r="K21" s="36"/>
      <c r="L21" s="2"/>
      <c r="M21" s="2"/>
      <c r="N21" s="2"/>
    </row>
    <row r="22" spans="1:14" ht="14.25" customHeight="1" x14ac:dyDescent="0.25">
      <c r="A22" s="105" t="s">
        <v>87</v>
      </c>
      <c r="B22" s="57">
        <v>10</v>
      </c>
      <c r="C22" s="78" t="s">
        <v>32</v>
      </c>
      <c r="D22" s="83" t="s">
        <v>57</v>
      </c>
      <c r="E22" s="117">
        <f>10*B22/100</f>
        <v>1</v>
      </c>
      <c r="F22" s="119" t="s">
        <v>96</v>
      </c>
      <c r="G22" s="115"/>
      <c r="H22" s="115"/>
      <c r="I22" s="35"/>
      <c r="J22" s="35"/>
    </row>
    <row r="23" spans="1:14" ht="14.25" customHeight="1" x14ac:dyDescent="0.25">
      <c r="A23" s="105" t="s">
        <v>89</v>
      </c>
      <c r="B23" s="58">
        <v>0.02</v>
      </c>
      <c r="C23" s="78" t="s">
        <v>0</v>
      </c>
      <c r="D23" s="83"/>
      <c r="E23" s="119"/>
      <c r="F23" s="119"/>
      <c r="G23" s="115"/>
      <c r="H23" s="115"/>
      <c r="I23" s="35"/>
      <c r="J23" s="35"/>
      <c r="K23" s="41"/>
      <c r="L23" s="43"/>
      <c r="M23" s="43"/>
      <c r="N23" s="43"/>
    </row>
    <row r="24" spans="1:14" ht="14.25" customHeight="1" x14ac:dyDescent="0.25">
      <c r="A24" s="104" t="s">
        <v>33</v>
      </c>
      <c r="B24" s="58">
        <v>0.02</v>
      </c>
      <c r="C24" s="78" t="s">
        <v>0</v>
      </c>
      <c r="D24" s="83"/>
      <c r="E24" s="119"/>
      <c r="F24" s="119"/>
      <c r="G24" s="115"/>
      <c r="H24" s="115"/>
      <c r="I24" s="35"/>
      <c r="J24" s="35"/>
      <c r="K24" s="41"/>
      <c r="L24" s="43"/>
      <c r="M24" s="43"/>
      <c r="N24" s="43"/>
    </row>
    <row r="25" spans="1:14" ht="14.25" customHeight="1" x14ac:dyDescent="0.25">
      <c r="A25" s="104" t="s">
        <v>16</v>
      </c>
      <c r="B25" s="58">
        <v>0.03</v>
      </c>
      <c r="C25" s="78" t="s">
        <v>0</v>
      </c>
      <c r="D25" s="83" t="s">
        <v>17</v>
      </c>
      <c r="E25" s="120"/>
      <c r="F25" s="120"/>
      <c r="G25" s="115"/>
      <c r="H25" s="115"/>
      <c r="I25" s="35"/>
      <c r="J25" s="35"/>
      <c r="K25" s="41"/>
      <c r="L25" s="43"/>
      <c r="M25" s="43"/>
      <c r="N25" s="43"/>
    </row>
    <row r="26" spans="1:14" ht="14.25" customHeight="1" x14ac:dyDescent="0.25">
      <c r="A26" s="104" t="s">
        <v>52</v>
      </c>
      <c r="B26" s="59">
        <v>0</v>
      </c>
      <c r="C26" s="78"/>
      <c r="D26" s="83" t="s">
        <v>65</v>
      </c>
      <c r="E26" s="120"/>
      <c r="F26" s="120"/>
      <c r="G26" s="115"/>
      <c r="H26" s="115"/>
      <c r="I26" s="35"/>
      <c r="J26" s="35"/>
      <c r="K26" s="41"/>
      <c r="L26" s="43"/>
      <c r="M26" s="43"/>
      <c r="N26" s="43"/>
    </row>
    <row r="27" spans="1:14" ht="14.25" customHeight="1" x14ac:dyDescent="0.25">
      <c r="A27" s="104" t="s">
        <v>37</v>
      </c>
      <c r="B27" s="60">
        <v>25</v>
      </c>
      <c r="C27" s="85"/>
      <c r="D27" s="83" t="s">
        <v>31</v>
      </c>
      <c r="E27" s="120"/>
      <c r="F27" s="83"/>
      <c r="G27" s="115"/>
      <c r="H27" s="115"/>
      <c r="I27" s="35"/>
      <c r="J27" s="35"/>
      <c r="K27" s="41"/>
      <c r="L27" s="44"/>
      <c r="M27" s="45"/>
      <c r="N27" s="45"/>
    </row>
    <row r="28" spans="1:14" ht="14.25" customHeight="1" x14ac:dyDescent="0.25">
      <c r="A28" s="104"/>
      <c r="B28" s="86"/>
      <c r="C28" s="78"/>
      <c r="D28" s="78"/>
      <c r="E28" s="87"/>
      <c r="F28" s="87"/>
      <c r="G28" s="75"/>
      <c r="H28" s="75"/>
      <c r="I28" s="35"/>
      <c r="J28" s="35"/>
      <c r="K28" s="41"/>
      <c r="L28" s="44"/>
      <c r="M28" s="45"/>
      <c r="N28" s="45"/>
    </row>
    <row r="29" spans="1:14" ht="14.25" customHeight="1" x14ac:dyDescent="0.25">
      <c r="A29" s="102" t="s">
        <v>11</v>
      </c>
      <c r="B29" s="86"/>
      <c r="C29" s="78"/>
      <c r="D29" s="78"/>
      <c r="E29" s="87"/>
      <c r="F29" s="87"/>
      <c r="G29" s="75"/>
      <c r="H29" s="75"/>
      <c r="I29" s="35"/>
      <c r="J29" s="35"/>
      <c r="K29" s="41"/>
      <c r="L29" s="44"/>
      <c r="M29" s="45"/>
      <c r="N29" s="45"/>
    </row>
    <row r="30" spans="1:14" ht="14.25" customHeight="1" x14ac:dyDescent="0.25">
      <c r="A30" s="105" t="s">
        <v>88</v>
      </c>
      <c r="B30" s="88">
        <f>Kosten-Instandhaltung</f>
        <v>80</v>
      </c>
      <c r="C30" s="83" t="s">
        <v>53</v>
      </c>
      <c r="D30" s="89"/>
      <c r="E30" s="84"/>
      <c r="F30" s="81"/>
      <c r="G30" s="82"/>
      <c r="H30" s="75"/>
      <c r="I30" s="35"/>
      <c r="J30" s="35"/>
      <c r="K30" s="41"/>
      <c r="L30" s="44"/>
      <c r="M30" s="45"/>
      <c r="N30" s="45"/>
    </row>
    <row r="31" spans="1:14" ht="14.25" customHeight="1" x14ac:dyDescent="0.25">
      <c r="A31" s="105" t="s">
        <v>60</v>
      </c>
      <c r="B31" s="62">
        <v>1.4E-2</v>
      </c>
      <c r="C31" s="83" t="s">
        <v>0</v>
      </c>
      <c r="D31" s="119" t="s">
        <v>86</v>
      </c>
      <c r="E31" s="120"/>
      <c r="F31" s="120"/>
      <c r="G31" s="90" t="s">
        <v>93</v>
      </c>
      <c r="I31" s="35"/>
      <c r="J31" s="35"/>
      <c r="K31" s="41"/>
      <c r="L31" s="44"/>
      <c r="M31" s="45"/>
      <c r="N31" s="45"/>
    </row>
    <row r="32" spans="1:14" ht="14.25" customHeight="1" x14ac:dyDescent="0.25">
      <c r="A32" s="105" t="s">
        <v>56</v>
      </c>
      <c r="B32" s="62">
        <v>2.5000000000000001E-3</v>
      </c>
      <c r="C32" s="83"/>
      <c r="D32" s="92"/>
      <c r="E32" s="87"/>
      <c r="F32" s="91"/>
      <c r="G32" s="81"/>
      <c r="H32" s="75"/>
      <c r="I32" s="35"/>
      <c r="J32" s="35"/>
      <c r="K32" s="41"/>
      <c r="L32" s="44"/>
      <c r="M32" s="45"/>
      <c r="N32" s="45"/>
    </row>
    <row r="33" spans="1:14" ht="14.25" customHeight="1" x14ac:dyDescent="0.25">
      <c r="A33" s="105" t="s">
        <v>27</v>
      </c>
      <c r="B33" s="63">
        <v>10</v>
      </c>
      <c r="C33" s="83" t="s">
        <v>8</v>
      </c>
      <c r="D33" s="87"/>
      <c r="E33" s="87"/>
      <c r="F33" s="87"/>
      <c r="G33" s="75"/>
      <c r="H33" s="75"/>
      <c r="I33" s="35"/>
      <c r="J33" s="35"/>
      <c r="K33" s="41"/>
      <c r="L33" s="44"/>
      <c r="M33" s="45"/>
      <c r="N33" s="45"/>
    </row>
    <row r="34" spans="1:14" ht="14.25" customHeight="1" x14ac:dyDescent="0.25">
      <c r="A34" s="105" t="s">
        <v>28</v>
      </c>
      <c r="B34" s="65">
        <v>0.03</v>
      </c>
      <c r="C34" s="83" t="s">
        <v>0</v>
      </c>
      <c r="D34" s="83"/>
      <c r="E34" s="87"/>
      <c r="F34" s="87"/>
      <c r="G34" s="75"/>
      <c r="H34" s="75"/>
      <c r="I34" s="35"/>
      <c r="J34" s="35"/>
      <c r="K34" s="41"/>
      <c r="L34" s="44"/>
      <c r="M34" s="45"/>
      <c r="N34" s="45"/>
    </row>
    <row r="35" spans="1:14" ht="14.25" customHeight="1" x14ac:dyDescent="0.25">
      <c r="A35" s="105" t="s">
        <v>75</v>
      </c>
      <c r="B35" s="64">
        <v>10</v>
      </c>
      <c r="C35" s="83" t="s">
        <v>8</v>
      </c>
      <c r="D35" s="85"/>
      <c r="E35" s="93"/>
      <c r="F35" s="93"/>
      <c r="G35" s="75"/>
      <c r="H35" s="75"/>
      <c r="I35" s="35"/>
      <c r="J35" s="35"/>
      <c r="K35" s="41"/>
      <c r="L35" s="44"/>
      <c r="M35" s="45"/>
      <c r="N35" s="45"/>
    </row>
    <row r="36" spans="1:14" ht="14.25" customHeight="1" x14ac:dyDescent="0.25">
      <c r="A36" s="105" t="s">
        <v>34</v>
      </c>
      <c r="B36" s="112">
        <v>2</v>
      </c>
      <c r="C36" s="83" t="s">
        <v>8</v>
      </c>
      <c r="D36" s="83"/>
      <c r="E36" s="87"/>
      <c r="F36" s="87"/>
      <c r="G36" s="75"/>
      <c r="H36" s="75"/>
      <c r="I36" s="35"/>
      <c r="J36" s="35"/>
      <c r="K36" s="41"/>
      <c r="L36" s="44"/>
      <c r="M36" s="45"/>
      <c r="N36" s="45"/>
    </row>
    <row r="37" spans="1:14" ht="14.25" customHeight="1" x14ac:dyDescent="0.25">
      <c r="A37" s="104"/>
      <c r="B37" s="86"/>
      <c r="C37" s="78"/>
      <c r="D37" s="78"/>
      <c r="E37" s="87"/>
      <c r="F37" s="87"/>
      <c r="G37" s="75"/>
      <c r="H37" s="75"/>
      <c r="I37" s="35"/>
      <c r="J37" s="35"/>
      <c r="K37" s="41"/>
      <c r="L37" s="44"/>
      <c r="M37" s="45"/>
      <c r="N37" s="45"/>
    </row>
    <row r="38" spans="1:14" ht="14.25" customHeight="1" x14ac:dyDescent="0.25">
      <c r="A38" s="102" t="s">
        <v>18</v>
      </c>
      <c r="B38" s="86"/>
      <c r="C38" s="78"/>
      <c r="D38" s="78"/>
      <c r="E38" s="87"/>
      <c r="F38" s="87"/>
      <c r="G38" s="75"/>
      <c r="H38" s="75"/>
      <c r="I38" s="35"/>
      <c r="J38" s="35"/>
      <c r="K38" s="41"/>
      <c r="L38" s="46"/>
      <c r="M38" s="45"/>
      <c r="N38" s="45"/>
    </row>
    <row r="39" spans="1:14" ht="14.25" customHeight="1" x14ac:dyDescent="0.25">
      <c r="A39" s="104" t="s">
        <v>19</v>
      </c>
      <c r="B39" s="124">
        <f>(Gradtagszahl_vor*UWert_vor-Gradtagszahl_nach*UWert_nach)/Wirkungsgrad/1000*24</f>
        <v>80.333965844402272</v>
      </c>
      <c r="C39" s="83" t="s">
        <v>81</v>
      </c>
      <c r="D39" s="83"/>
      <c r="E39" s="87"/>
      <c r="F39" s="87"/>
      <c r="G39" s="75"/>
      <c r="H39" s="75"/>
      <c r="I39" s="35"/>
      <c r="J39" s="35"/>
      <c r="K39" s="41"/>
      <c r="L39" s="46"/>
      <c r="M39" s="45"/>
      <c r="N39" s="45"/>
    </row>
    <row r="40" spans="1:14" ht="14.25" customHeight="1" x14ac:dyDescent="0.25">
      <c r="A40" s="104" t="s">
        <v>20</v>
      </c>
      <c r="B40" s="113">
        <f>B39*B20</f>
        <v>18.075142314990511</v>
      </c>
      <c r="C40" s="83" t="s">
        <v>82</v>
      </c>
      <c r="D40" s="78"/>
      <c r="E40" s="87"/>
      <c r="F40" s="87"/>
      <c r="G40" s="75"/>
      <c r="H40" s="75"/>
      <c r="I40" s="35"/>
      <c r="J40" s="35"/>
      <c r="K40" s="41"/>
      <c r="L40" s="46"/>
      <c r="M40" s="45"/>
      <c r="N40" s="45"/>
    </row>
    <row r="41" spans="1:14" ht="14.25" customHeight="1" x14ac:dyDescent="0.25">
      <c r="A41" s="104"/>
      <c r="B41" s="78"/>
      <c r="C41" s="78"/>
      <c r="D41" s="78"/>
      <c r="E41" s="87"/>
      <c r="F41" s="87"/>
      <c r="G41" s="75"/>
      <c r="H41" s="75"/>
      <c r="I41" s="35"/>
      <c r="J41" s="35"/>
      <c r="K41" s="41"/>
      <c r="L41" s="46"/>
      <c r="M41" s="45"/>
      <c r="N41" s="45"/>
    </row>
    <row r="42" spans="1:14" ht="14.25" customHeight="1" x14ac:dyDescent="0.25">
      <c r="A42" s="102" t="s">
        <v>70</v>
      </c>
      <c r="B42" s="78"/>
      <c r="C42" s="78"/>
      <c r="D42" s="78"/>
      <c r="E42" s="87"/>
      <c r="F42" s="87"/>
      <c r="G42" s="75"/>
      <c r="H42" s="75"/>
      <c r="I42" s="35"/>
      <c r="J42" s="35"/>
      <c r="K42" s="41"/>
      <c r="L42" s="46"/>
      <c r="M42" s="45"/>
      <c r="N42" s="45"/>
    </row>
    <row r="43" spans="1:14" s="37" customFormat="1" ht="14.25" customHeight="1" x14ac:dyDescent="0.25">
      <c r="A43" s="102"/>
      <c r="B43" s="74" t="s">
        <v>71</v>
      </c>
      <c r="C43" s="74"/>
      <c r="D43" s="74" t="s">
        <v>77</v>
      </c>
      <c r="E43" s="94"/>
      <c r="F43" s="94"/>
      <c r="G43" s="95"/>
      <c r="H43" s="96"/>
      <c r="I43" s="47"/>
      <c r="J43" s="47"/>
      <c r="L43" s="48"/>
      <c r="M43" s="49"/>
      <c r="N43" s="49"/>
    </row>
    <row r="44" spans="1:14" ht="14.25" customHeight="1" x14ac:dyDescent="0.25">
      <c r="A44" s="104" t="s">
        <v>29</v>
      </c>
      <c r="B44" s="98">
        <f>Berechnung!K41</f>
        <v>17</v>
      </c>
      <c r="C44" s="78" t="s">
        <v>8</v>
      </c>
      <c r="D44" s="98">
        <f>Berechnung!Q41</f>
        <v>22</v>
      </c>
      <c r="E44" s="78" t="s">
        <v>8</v>
      </c>
      <c r="F44" s="87"/>
      <c r="G44" s="75"/>
      <c r="H44" s="78"/>
      <c r="I44" s="35"/>
      <c r="J44" s="35"/>
      <c r="K44" s="41"/>
      <c r="L44" s="46"/>
      <c r="M44" s="45"/>
      <c r="N44" s="45"/>
    </row>
    <row r="45" spans="1:14" ht="14.25" customHeight="1" x14ac:dyDescent="0.25">
      <c r="A45" s="104" t="s">
        <v>35</v>
      </c>
      <c r="B45" s="72">
        <f>IF($B27=20,Berechnung!G41,IF($B27=25,Berechnung!G42,IF($B27=30,Berechnung!G43,"FALSE")))</f>
        <v>7.585449647606457E-2</v>
      </c>
      <c r="C45" s="78" t="s">
        <v>0</v>
      </c>
      <c r="D45" s="72">
        <f>IF($B27=20,Berechnung!N41,IF($B27=25,Berechnung!N42,IF($B27=30,Berechnung!N43,"FALSE")))</f>
        <v>4.4736712362837716E-2</v>
      </c>
      <c r="E45" s="78" t="s">
        <v>0</v>
      </c>
      <c r="F45" s="87"/>
      <c r="G45" s="75"/>
      <c r="H45" s="78"/>
      <c r="I45" s="35"/>
      <c r="J45" s="35"/>
      <c r="K45" s="41"/>
      <c r="L45" s="46"/>
      <c r="M45" s="45"/>
      <c r="N45" s="45"/>
    </row>
    <row r="46" spans="1:14" s="37" customFormat="1" ht="14.25" customHeight="1" x14ac:dyDescent="0.25">
      <c r="A46" s="104" t="s">
        <v>9</v>
      </c>
      <c r="B46" s="73">
        <f>IF(B$27=20,Berechnung!J41,IF(B$27=25,Berechnung!J42,IF(B$27=30,Berechnung!J43,"FALSE")))</f>
        <v>54.287708507823638</v>
      </c>
      <c r="C46" s="83" t="s">
        <v>80</v>
      </c>
      <c r="D46" s="73">
        <f>IF(B$27=20,Berechnung!P41,IF(B$27=25,Berechnung!P42,IF(B$27=30,Berechnung!P43,"FALSE")))</f>
        <v>17.874306444613204</v>
      </c>
      <c r="E46" s="83" t="s">
        <v>80</v>
      </c>
      <c r="F46" s="87"/>
      <c r="G46" s="75"/>
      <c r="H46" s="78"/>
      <c r="I46" s="47"/>
      <c r="J46" s="47"/>
      <c r="L46" s="48"/>
      <c r="M46" s="49"/>
      <c r="N46" s="49"/>
    </row>
    <row r="47" spans="1:14" ht="14.25" customHeight="1" x14ac:dyDescent="0.25">
      <c r="A47" s="96"/>
      <c r="B47" s="96"/>
      <c r="C47" s="96"/>
      <c r="D47" s="96"/>
      <c r="E47" s="96"/>
      <c r="F47" s="96"/>
      <c r="G47" s="96"/>
      <c r="H47" s="96"/>
      <c r="I47" s="47"/>
    </row>
    <row r="48" spans="1:14" ht="14.25" customHeight="1" x14ac:dyDescent="0.25">
      <c r="A48" s="102" t="s">
        <v>85</v>
      </c>
      <c r="B48" s="96"/>
      <c r="C48" s="96"/>
      <c r="D48" s="96"/>
      <c r="E48" s="96"/>
      <c r="F48" s="96"/>
      <c r="G48" s="96"/>
      <c r="H48" s="96"/>
      <c r="I48" s="47"/>
    </row>
    <row r="49" spans="1:14" ht="14.25" customHeight="1" x14ac:dyDescent="0.25">
      <c r="A49" s="106" t="s">
        <v>78</v>
      </c>
      <c r="B49" s="109">
        <f>Berechnung!S9</f>
        <v>-1.6333965844402272</v>
      </c>
      <c r="C49" s="108" t="s">
        <v>83</v>
      </c>
      <c r="D49" s="96"/>
      <c r="E49" s="96"/>
      <c r="F49" s="96"/>
      <c r="G49" s="96"/>
      <c r="H49" s="96"/>
      <c r="I49" s="47"/>
    </row>
    <row r="50" spans="1:14" ht="14.25" customHeight="1" x14ac:dyDescent="0.25">
      <c r="A50" s="107" t="s">
        <v>79</v>
      </c>
      <c r="B50" s="110">
        <f>Berechnung!T19</f>
        <v>-1.4682861539876417</v>
      </c>
      <c r="C50" s="108" t="s">
        <v>84</v>
      </c>
      <c r="D50" s="78"/>
      <c r="E50" s="87"/>
      <c r="F50" s="87"/>
      <c r="G50" s="75"/>
      <c r="H50" s="75"/>
      <c r="I50" s="35"/>
      <c r="J50" s="35"/>
      <c r="K50" s="41"/>
      <c r="L50" s="46"/>
      <c r="M50" s="45"/>
      <c r="N50" s="45"/>
    </row>
    <row r="51" spans="1:14" ht="14.25" customHeight="1" x14ac:dyDescent="0.25">
      <c r="A51" s="111"/>
      <c r="B51" s="110"/>
      <c r="C51" s="108"/>
      <c r="D51" s="78"/>
      <c r="E51" s="87"/>
      <c r="F51" s="87"/>
      <c r="G51" s="75"/>
      <c r="H51" s="75"/>
      <c r="I51" s="35"/>
      <c r="J51" s="35"/>
      <c r="K51" s="41"/>
      <c r="L51" s="46"/>
      <c r="M51" s="45"/>
      <c r="N51" s="45"/>
    </row>
    <row r="52" spans="1:14" ht="14.25" customHeight="1" x14ac:dyDescent="0.25">
      <c r="D52" s="4">
        <v>5</v>
      </c>
      <c r="E52" s="4">
        <v>0</v>
      </c>
    </row>
    <row r="53" spans="1:14" ht="14.25" customHeight="1" x14ac:dyDescent="0.25">
      <c r="D53" s="4">
        <v>10</v>
      </c>
      <c r="E53" s="4">
        <v>1</v>
      </c>
    </row>
    <row r="54" spans="1:14" ht="14.25" customHeight="1" x14ac:dyDescent="0.25">
      <c r="D54" s="4">
        <v>20</v>
      </c>
      <c r="E54" s="4">
        <v>2</v>
      </c>
    </row>
    <row r="55" spans="1:14" ht="14.25" customHeight="1" x14ac:dyDescent="0.25">
      <c r="D55" s="4">
        <v>30</v>
      </c>
      <c r="E55" s="4">
        <v>3</v>
      </c>
    </row>
    <row r="56" spans="1:14" ht="14.25" customHeight="1" x14ac:dyDescent="0.25">
      <c r="E56" s="4">
        <v>5</v>
      </c>
    </row>
  </sheetData>
  <sheetProtection sheet="1"/>
  <customSheetViews>
    <customSheetView guid="{36051EDE-EE05-46A8-9481-5CD2E0A132E3}" scale="90" hiddenColumns="1" showRuler="0">
      <selection activeCell="K14" sqref="K14"/>
      <pageMargins left="0.78740157480314965" right="0.78740157480314965" top="0.98425196850393704" bottom="0.98425196850393704" header="0.51181102362204722" footer="0.51181102362204722"/>
      <printOptions horizontalCentered="1" gridLines="1"/>
      <pageSetup paperSize="9" orientation="portrait" horizontalDpi="300" verticalDpi="300" r:id="rId1"/>
      <headerFooter alignWithMargins="0">
        <oddHeader>&amp;F</oddHeader>
        <oddFooter>&amp;A</oddFooter>
      </headerFooter>
    </customSheetView>
  </customSheetViews>
  <phoneticPr fontId="0" type="noConversion"/>
  <dataValidations count="3">
    <dataValidation type="list" allowBlank="1" showInputMessage="1" showErrorMessage="1" sqref="B36">
      <formula1>$E$52:$E$56</formula1>
    </dataValidation>
    <dataValidation type="list" allowBlank="1" showInputMessage="1" showErrorMessage="1" sqref="B35">
      <formula1>$D$53:$D$55</formula1>
    </dataValidation>
    <dataValidation type="list" allowBlank="1" showInputMessage="1" showErrorMessage="1" sqref="B33">
      <formula1>$D$52:$D$54</formula1>
    </dataValidation>
  </dataValidations>
  <hyperlinks>
    <hyperlink ref="G31" r:id="rId2"/>
  </hyperlinks>
  <printOptions horizontalCentered="1" gridLines="1" gridLinesSet="0"/>
  <pageMargins left="0.39370078740157483" right="0.39370078740157483" top="0.78740157480314965" bottom="0.78740157480314965" header="0.51181102362204722" footer="0.51181102362204722"/>
  <pageSetup paperSize="9" orientation="portrait" horizontalDpi="300" verticalDpi="300" r:id="rId3"/>
  <headerFooter alignWithMargins="0">
    <oddHeader>&amp;F</oddHeader>
    <oddFooter>&amp;A</oddFooter>
  </headerFooter>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workbookViewId="0">
      <selection activeCell="A3" sqref="A3"/>
    </sheetView>
  </sheetViews>
  <sheetFormatPr baseColWidth="10" defaultColWidth="7.5546875" defaultRowHeight="13.2" x14ac:dyDescent="0.25"/>
  <cols>
    <col min="1" max="1" width="7.5546875" style="12" customWidth="1"/>
    <col min="2" max="3" width="7.5546875" style="13" customWidth="1"/>
    <col min="4" max="5" width="7.5546875" style="61" customWidth="1"/>
    <col min="6" max="6" width="7.5546875" style="51" customWidth="1"/>
    <col min="7" max="7" width="7.5546875" style="14" customWidth="1"/>
    <col min="8" max="8" width="7.5546875" customWidth="1"/>
    <col min="9" max="10" width="7.5546875" style="14" customWidth="1"/>
    <col min="11" max="11" width="3.33203125" style="13" customWidth="1"/>
    <col min="12" max="12" width="7.5546875" style="13" customWidth="1"/>
    <col min="13" max="16" width="7.5546875" style="12" customWidth="1"/>
    <col min="17" max="17" width="7.5546875" style="13" customWidth="1"/>
    <col min="18" max="18" width="4.5546875" style="13" customWidth="1"/>
    <col min="19" max="22" width="7.5546875" style="12" customWidth="1"/>
    <col min="23" max="16384" width="7.5546875" style="12"/>
  </cols>
  <sheetData>
    <row r="1" spans="1:23" s="1" customFormat="1" ht="15.6" x14ac:dyDescent="0.3">
      <c r="A1" s="5" t="str">
        <f>Parameter!A1</f>
        <v>Wirtschaftlichkeit:  Wärmedämmung der Außenwand</v>
      </c>
      <c r="B1" s="7"/>
      <c r="C1" s="7"/>
      <c r="K1" s="3"/>
      <c r="L1" s="7"/>
      <c r="Q1" s="3"/>
      <c r="R1" s="3"/>
    </row>
    <row r="2" spans="1:23" s="2" customFormat="1" x14ac:dyDescent="0.25">
      <c r="A2" s="6" t="str">
        <f>Parameter!A2</f>
        <v>Dr. Alfred Körblein, Umweltinstitut München e.V.</v>
      </c>
      <c r="B2" s="8"/>
      <c r="C2" s="8"/>
      <c r="K2" s="4"/>
      <c r="L2" s="8"/>
      <c r="Q2" s="4"/>
      <c r="R2" s="4"/>
    </row>
    <row r="3" spans="1:23" s="2" customFormat="1" x14ac:dyDescent="0.25">
      <c r="A3" s="6" t="str">
        <f>Parameter!A3</f>
        <v>1.10.2022</v>
      </c>
      <c r="B3" s="8"/>
      <c r="C3" s="8"/>
      <c r="K3" s="4"/>
      <c r="L3" s="8"/>
      <c r="Q3" s="4"/>
      <c r="R3" s="4"/>
    </row>
    <row r="4" spans="1:23" s="2" customFormat="1" x14ac:dyDescent="0.25">
      <c r="A4" s="6"/>
      <c r="B4" s="8"/>
      <c r="C4" s="8"/>
      <c r="K4" s="4"/>
      <c r="L4" s="8"/>
      <c r="Q4" s="4"/>
      <c r="R4" s="4"/>
    </row>
    <row r="5" spans="1:23" s="71" customFormat="1" x14ac:dyDescent="0.25">
      <c r="B5" s="70"/>
      <c r="C5" s="70"/>
      <c r="G5" s="28" t="s">
        <v>63</v>
      </c>
      <c r="K5" s="50"/>
      <c r="L5" s="70"/>
      <c r="M5" s="28"/>
      <c r="N5" s="28" t="s">
        <v>62</v>
      </c>
      <c r="Q5" s="50"/>
      <c r="R5" s="50"/>
      <c r="S5" s="28" t="s">
        <v>61</v>
      </c>
    </row>
    <row r="6" spans="1:23" s="71" customFormat="1" x14ac:dyDescent="0.25">
      <c r="A6" s="70"/>
      <c r="B6" s="70"/>
      <c r="C6" s="70"/>
      <c r="D6" s="28" t="s">
        <v>66</v>
      </c>
      <c r="G6" s="28" t="s">
        <v>69</v>
      </c>
      <c r="L6" s="6" t="s">
        <v>55</v>
      </c>
      <c r="M6" s="29"/>
      <c r="N6" s="29" t="s">
        <v>68</v>
      </c>
      <c r="S6" s="29" t="s">
        <v>64</v>
      </c>
    </row>
    <row r="7" spans="1:23" s="67" customFormat="1" x14ac:dyDescent="0.25">
      <c r="A7" s="66" t="s">
        <v>1</v>
      </c>
      <c r="B7" s="66" t="s">
        <v>22</v>
      </c>
      <c r="C7" s="66" t="s">
        <v>46</v>
      </c>
      <c r="D7" s="66" t="s">
        <v>2</v>
      </c>
      <c r="E7" s="66" t="s">
        <v>7</v>
      </c>
      <c r="F7" s="66" t="s">
        <v>6</v>
      </c>
      <c r="G7" s="67" t="s">
        <v>3</v>
      </c>
      <c r="H7" s="67" t="s">
        <v>73</v>
      </c>
      <c r="I7" s="67" t="s">
        <v>5</v>
      </c>
      <c r="J7" s="67" t="s">
        <v>9</v>
      </c>
      <c r="L7" s="66"/>
      <c r="M7" s="67" t="s">
        <v>51</v>
      </c>
      <c r="N7" s="67" t="s">
        <v>3</v>
      </c>
      <c r="O7" s="67" t="s">
        <v>5</v>
      </c>
      <c r="P7" s="67" t="s">
        <v>9</v>
      </c>
      <c r="S7" s="67" t="s">
        <v>3</v>
      </c>
      <c r="T7" s="67" t="s">
        <v>5</v>
      </c>
      <c r="U7" s="67" t="s">
        <v>9</v>
      </c>
    </row>
    <row r="8" spans="1:23" s="9" customFormat="1" x14ac:dyDescent="0.25">
      <c r="A8" s="11">
        <v>0</v>
      </c>
      <c r="B8" s="10"/>
      <c r="C8" s="10"/>
      <c r="F8" s="10">
        <f>Darlehen</f>
        <v>80</v>
      </c>
      <c r="G8" s="10">
        <f>-(Kosten-Darlehen)</f>
        <v>-50</v>
      </c>
      <c r="H8" s="10"/>
      <c r="J8" s="10">
        <f>G8</f>
        <v>-50</v>
      </c>
      <c r="K8" s="11"/>
      <c r="L8" s="10"/>
      <c r="M8" s="10"/>
      <c r="N8" s="10">
        <f>-(Kosten-Darlehen)</f>
        <v>-50</v>
      </c>
      <c r="P8" s="10">
        <f>N8</f>
        <v>-50</v>
      </c>
      <c r="Q8" s="11"/>
      <c r="R8" s="11"/>
      <c r="S8" s="10"/>
    </row>
    <row r="9" spans="1:23" s="9" customFormat="1" x14ac:dyDescent="0.25">
      <c r="A9" s="11">
        <v>1</v>
      </c>
      <c r="B9" s="10">
        <f>Energieeinsparung*Energiekosten/100</f>
        <v>8.0333965844402275</v>
      </c>
      <c r="C9" s="10">
        <f>Prozent_Umlage*(Kosten-Instandhaltung)</f>
        <v>6.4</v>
      </c>
      <c r="D9" s="10">
        <f t="shared" ref="D9:D38" si="0">IF(A9&lt;=Zinsbindung,F8*Zinssatz,F8*Zinssatz_nach_Zinsbindung)</f>
        <v>1.1200000000000001</v>
      </c>
      <c r="E9" s="10">
        <f t="shared" ref="E9:E38" si="1">IF(OR(A9&lt;=Tilgungsfrei,A9&gt;Laufzeit),0,F$8/(Laufzeit-Tilgungsfrei))</f>
        <v>0</v>
      </c>
      <c r="F9" s="10">
        <f t="shared" ref="F9:F38" si="2">F8-E9</f>
        <v>80</v>
      </c>
      <c r="G9" s="10">
        <f>B9-D9-E9</f>
        <v>6.9133965844402274</v>
      </c>
      <c r="H9" s="10">
        <f>H8+G9</f>
        <v>6.9133965844402274</v>
      </c>
      <c r="I9" s="10">
        <f t="shared" ref="I9:I38" si="3">G9/(1+Diskontsatz)^A8</f>
        <v>6.9133965844402274</v>
      </c>
      <c r="J9" s="10">
        <f>G8+I9</f>
        <v>-43.086603415559772</v>
      </c>
      <c r="K9" s="11" t="str">
        <f>IF(AND(G8&lt;0,J9&gt;0),A9,"")</f>
        <v/>
      </c>
      <c r="L9" s="10">
        <f t="shared" ref="L9:L38" si="4">IF(A9&gt;Zeitraum,0,(Kosten-Instandhaltung)/Zeitraum)</f>
        <v>3.2</v>
      </c>
      <c r="M9" s="10">
        <f t="shared" ref="M9:M38" si="5">(D9+L9)*Steuersatz</f>
        <v>0</v>
      </c>
      <c r="N9" s="10">
        <f>C9-D9-E9+M9</f>
        <v>5.28</v>
      </c>
      <c r="O9" s="10">
        <f t="shared" ref="O9:O38" si="6">(N9+M9)/(1+Diskontsatz)^A8</f>
        <v>5.28</v>
      </c>
      <c r="P9" s="10">
        <f>P8+O9</f>
        <v>-44.72</v>
      </c>
      <c r="Q9" s="11" t="str">
        <f t="shared" ref="Q9:Q38" si="7">IF(AND(P8&lt;0,P9&gt;0),A9,"")</f>
        <v/>
      </c>
      <c r="R9" s="11"/>
      <c r="S9" s="10">
        <f>C9-B9</f>
        <v>-1.6333965844402272</v>
      </c>
      <c r="T9" s="10">
        <f t="shared" ref="T9:T38" si="8">S9*(1-Diskontsatz)^A8</f>
        <v>-1.6333965844402272</v>
      </c>
      <c r="U9" s="10">
        <f t="shared" ref="U9:U33" si="9">U8+T9</f>
        <v>-1.6333965844402272</v>
      </c>
      <c r="V9" s="11" t="str">
        <f>IF(AND(U8&lt;0,U9&gt;0),#REF!,"")</f>
        <v/>
      </c>
      <c r="W9" s="68"/>
    </row>
    <row r="10" spans="1:23" s="10" customFormat="1" ht="12.6" customHeight="1" x14ac:dyDescent="0.25">
      <c r="A10" s="11">
        <f t="shared" ref="A10:A38" si="10">A9+1</f>
        <v>2</v>
      </c>
      <c r="B10" s="10">
        <f t="shared" ref="B10:B38" si="11">B9*(1+Energiekostensteigerung)</f>
        <v>8.194064516129032</v>
      </c>
      <c r="C10" s="10">
        <f t="shared" ref="C10:C38" si="12">C9*(1+Inflation)</f>
        <v>6.5280000000000005</v>
      </c>
      <c r="D10" s="10">
        <f t="shared" si="0"/>
        <v>1.1200000000000001</v>
      </c>
      <c r="E10" s="10">
        <f t="shared" si="1"/>
        <v>0</v>
      </c>
      <c r="F10" s="10">
        <f t="shared" si="2"/>
        <v>80</v>
      </c>
      <c r="G10" s="10">
        <f t="shared" ref="G10:G38" si="13">B10-D10-E10</f>
        <v>7.0740645161290319</v>
      </c>
      <c r="H10" s="10">
        <f t="shared" ref="H10:H38" si="14">H9+G10</f>
        <v>13.987461100569259</v>
      </c>
      <c r="I10" s="10">
        <f t="shared" si="3"/>
        <v>6.8680238020670208</v>
      </c>
      <c r="J10" s="10">
        <f t="shared" ref="J10:J38" si="15">J9+I10</f>
        <v>-36.21857961349275</v>
      </c>
      <c r="K10" s="11" t="str">
        <f t="shared" ref="K10:K38" si="16">IF(AND(J9&lt;0,J10&gt;0),A10,"")</f>
        <v/>
      </c>
      <c r="L10" s="10">
        <f t="shared" si="4"/>
        <v>3.2</v>
      </c>
      <c r="M10" s="10">
        <f t="shared" si="5"/>
        <v>0</v>
      </c>
      <c r="N10" s="10">
        <f t="shared" ref="N10:N38" si="17">C10-D10-E10+M10</f>
        <v>5.4080000000000004</v>
      </c>
      <c r="O10" s="10">
        <f t="shared" si="6"/>
        <v>5.2504854368932037</v>
      </c>
      <c r="P10" s="10">
        <f t="shared" ref="P10:P38" si="18">P9+O10</f>
        <v>-39.469514563106799</v>
      </c>
      <c r="Q10" s="11" t="str">
        <f t="shared" si="7"/>
        <v/>
      </c>
      <c r="R10" s="11"/>
      <c r="S10" s="10">
        <f t="shared" ref="S10:S38" si="19">C10-B10</f>
        <v>-1.6660645161290315</v>
      </c>
      <c r="T10" s="10">
        <f t="shared" si="8"/>
        <v>-1.6160825806451604</v>
      </c>
      <c r="U10" s="10">
        <f t="shared" si="9"/>
        <v>-3.2494791650853876</v>
      </c>
      <c r="V10" s="11" t="str">
        <f>IF(AND(U9&lt;0,U10&gt;0),#REF!,"")</f>
        <v/>
      </c>
    </row>
    <row r="11" spans="1:23" s="10" customFormat="1" x14ac:dyDescent="0.25">
      <c r="A11" s="11">
        <f t="shared" si="10"/>
        <v>3</v>
      </c>
      <c r="B11" s="10">
        <f t="shared" si="11"/>
        <v>8.3579458064516121</v>
      </c>
      <c r="C11" s="10">
        <f t="shared" si="12"/>
        <v>6.6585600000000005</v>
      </c>
      <c r="D11" s="10">
        <f t="shared" si="0"/>
        <v>1.1200000000000001</v>
      </c>
      <c r="E11" s="10">
        <f t="shared" si="1"/>
        <v>10</v>
      </c>
      <c r="F11" s="10">
        <f t="shared" si="2"/>
        <v>70</v>
      </c>
      <c r="G11" s="10">
        <f t="shared" si="13"/>
        <v>-2.762054193548388</v>
      </c>
      <c r="H11" s="10">
        <f t="shared" si="14"/>
        <v>11.225406907020872</v>
      </c>
      <c r="I11" s="10">
        <f t="shared" si="3"/>
        <v>-2.6035009836444418</v>
      </c>
      <c r="J11" s="10">
        <f t="shared" si="15"/>
        <v>-38.822080597137195</v>
      </c>
      <c r="K11" s="11" t="str">
        <f t="shared" si="16"/>
        <v/>
      </c>
      <c r="L11" s="10">
        <f t="shared" si="4"/>
        <v>3.2</v>
      </c>
      <c r="M11" s="10">
        <f t="shared" si="5"/>
        <v>0</v>
      </c>
      <c r="N11" s="10">
        <f t="shared" si="17"/>
        <v>-4.4614399999999996</v>
      </c>
      <c r="O11" s="10">
        <f t="shared" si="6"/>
        <v>-4.2053350928456972</v>
      </c>
      <c r="P11" s="10">
        <f t="shared" si="18"/>
        <v>-43.674849655952499</v>
      </c>
      <c r="Q11" s="11" t="str">
        <f t="shared" si="7"/>
        <v/>
      </c>
      <c r="R11" s="11"/>
      <c r="S11" s="10">
        <f t="shared" si="19"/>
        <v>-1.6993858064516116</v>
      </c>
      <c r="T11" s="10">
        <f t="shared" si="8"/>
        <v>-1.5989521052903213</v>
      </c>
      <c r="U11" s="10">
        <f t="shared" si="9"/>
        <v>-4.8484312703757091</v>
      </c>
      <c r="V11" s="11" t="str">
        <f>IF(AND(U10&lt;0,U11&gt;0),#REF!,"")</f>
        <v/>
      </c>
    </row>
    <row r="12" spans="1:23" s="10" customFormat="1" x14ac:dyDescent="0.25">
      <c r="A12" s="11">
        <f t="shared" si="10"/>
        <v>4</v>
      </c>
      <c r="B12" s="10">
        <f t="shared" si="11"/>
        <v>8.5251047225806449</v>
      </c>
      <c r="C12" s="10">
        <f t="shared" si="12"/>
        <v>6.791731200000001</v>
      </c>
      <c r="D12" s="10">
        <f t="shared" si="0"/>
        <v>0.98</v>
      </c>
      <c r="E12" s="10">
        <f t="shared" si="1"/>
        <v>10</v>
      </c>
      <c r="F12" s="10">
        <f t="shared" si="2"/>
        <v>60</v>
      </c>
      <c r="G12" s="10">
        <f t="shared" si="13"/>
        <v>-2.4548952774193555</v>
      </c>
      <c r="H12" s="10">
        <f t="shared" si="14"/>
        <v>8.7705116296015166</v>
      </c>
      <c r="I12" s="10">
        <f t="shared" si="3"/>
        <v>-2.2465769377157838</v>
      </c>
      <c r="J12" s="10">
        <f t="shared" si="15"/>
        <v>-41.068657534852981</v>
      </c>
      <c r="K12" s="11" t="str">
        <f t="shared" si="16"/>
        <v/>
      </c>
      <c r="L12" s="10">
        <f t="shared" si="4"/>
        <v>3.2</v>
      </c>
      <c r="M12" s="10">
        <f t="shared" si="5"/>
        <v>0</v>
      </c>
      <c r="N12" s="10">
        <f t="shared" si="17"/>
        <v>-4.1882687999999995</v>
      </c>
      <c r="O12" s="10">
        <f t="shared" si="6"/>
        <v>-3.8328592594490658</v>
      </c>
      <c r="P12" s="10">
        <f t="shared" si="18"/>
        <v>-47.507708915401565</v>
      </c>
      <c r="Q12" s="11" t="str">
        <f t="shared" si="7"/>
        <v/>
      </c>
      <c r="R12" s="11"/>
      <c r="S12" s="10">
        <f t="shared" si="19"/>
        <v>-1.7333735225806439</v>
      </c>
      <c r="T12" s="10">
        <f t="shared" si="8"/>
        <v>-1.5820032129742438</v>
      </c>
      <c r="U12" s="10">
        <f t="shared" si="9"/>
        <v>-6.4304344833499529</v>
      </c>
      <c r="V12" s="11" t="str">
        <f>IF(AND(U11&lt;0,U12&gt;0),#REF!,"")</f>
        <v/>
      </c>
    </row>
    <row r="13" spans="1:23" s="10" customFormat="1" x14ac:dyDescent="0.25">
      <c r="A13" s="11">
        <f t="shared" si="10"/>
        <v>5</v>
      </c>
      <c r="B13" s="10">
        <f t="shared" si="11"/>
        <v>8.6956068170322585</v>
      </c>
      <c r="C13" s="10">
        <f t="shared" si="12"/>
        <v>6.9275658240000011</v>
      </c>
      <c r="D13" s="10">
        <f t="shared" si="0"/>
        <v>0.84</v>
      </c>
      <c r="E13" s="10">
        <f t="shared" si="1"/>
        <v>10</v>
      </c>
      <c r="F13" s="10">
        <f t="shared" si="2"/>
        <v>50</v>
      </c>
      <c r="G13" s="10">
        <f t="shared" si="13"/>
        <v>-2.1443931829677414</v>
      </c>
      <c r="H13" s="10">
        <f t="shared" si="14"/>
        <v>6.6261184466337752</v>
      </c>
      <c r="I13" s="10">
        <f t="shared" si="3"/>
        <v>-1.9052655687055364</v>
      </c>
      <c r="J13" s="10">
        <f t="shared" si="15"/>
        <v>-42.973923103558519</v>
      </c>
      <c r="K13" s="11" t="str">
        <f t="shared" si="16"/>
        <v/>
      </c>
      <c r="L13" s="10">
        <f t="shared" si="4"/>
        <v>3.2</v>
      </c>
      <c r="M13" s="10">
        <f t="shared" si="5"/>
        <v>0</v>
      </c>
      <c r="N13" s="10">
        <f t="shared" si="17"/>
        <v>-3.9124341759999988</v>
      </c>
      <c r="O13" s="10">
        <f t="shared" si="6"/>
        <v>-3.47614709119869</v>
      </c>
      <c r="P13" s="10">
        <f t="shared" si="18"/>
        <v>-50.983856006600256</v>
      </c>
      <c r="Q13" s="11" t="str">
        <f t="shared" si="7"/>
        <v/>
      </c>
      <c r="R13" s="11"/>
      <c r="S13" s="10">
        <f t="shared" si="19"/>
        <v>-1.7680409930322574</v>
      </c>
      <c r="T13" s="10">
        <f t="shared" si="8"/>
        <v>-1.5652339789167173</v>
      </c>
      <c r="U13" s="10">
        <f t="shared" si="9"/>
        <v>-7.9956684622666705</v>
      </c>
      <c r="V13" s="11" t="str">
        <f>IF(AND(U12&lt;0,U13&gt;0),#REF!,"")</f>
        <v/>
      </c>
    </row>
    <row r="14" spans="1:23" s="10" customFormat="1" x14ac:dyDescent="0.25">
      <c r="A14" s="11">
        <f t="shared" si="10"/>
        <v>6</v>
      </c>
      <c r="B14" s="10">
        <f t="shared" si="11"/>
        <v>8.8695189533729035</v>
      </c>
      <c r="C14" s="10">
        <f t="shared" si="12"/>
        <v>7.0661171404800012</v>
      </c>
      <c r="D14" s="10">
        <f t="shared" si="0"/>
        <v>0.70000000000000007</v>
      </c>
      <c r="E14" s="10">
        <f t="shared" si="1"/>
        <v>10</v>
      </c>
      <c r="F14" s="10">
        <f t="shared" si="2"/>
        <v>40</v>
      </c>
      <c r="G14" s="10">
        <f t="shared" si="13"/>
        <v>-1.8304810466270958</v>
      </c>
      <c r="H14" s="10">
        <f t="shared" si="14"/>
        <v>4.7956374000066795</v>
      </c>
      <c r="I14" s="10">
        <f t="shared" si="3"/>
        <v>-1.5789890304692515</v>
      </c>
      <c r="J14" s="10">
        <f t="shared" si="15"/>
        <v>-44.552912134027771</v>
      </c>
      <c r="K14" s="11" t="str">
        <f t="shared" si="16"/>
        <v/>
      </c>
      <c r="L14" s="10">
        <f t="shared" si="4"/>
        <v>3.2</v>
      </c>
      <c r="M14" s="10">
        <f t="shared" si="5"/>
        <v>0</v>
      </c>
      <c r="N14" s="10">
        <f t="shared" si="17"/>
        <v>-3.633882859519999</v>
      </c>
      <c r="O14" s="10">
        <f t="shared" si="6"/>
        <v>-3.1346192760449965</v>
      </c>
      <c r="P14" s="10">
        <f t="shared" si="18"/>
        <v>-54.11847528264525</v>
      </c>
      <c r="Q14" s="11" t="str">
        <f t="shared" si="7"/>
        <v/>
      </c>
      <c r="R14" s="11"/>
      <c r="S14" s="10">
        <f t="shared" si="19"/>
        <v>-1.8034018128929024</v>
      </c>
      <c r="T14" s="10">
        <f t="shared" si="8"/>
        <v>-1.5486424987402001</v>
      </c>
      <c r="U14" s="10">
        <f t="shared" si="9"/>
        <v>-9.5443109610068699</v>
      </c>
      <c r="V14" s="11" t="str">
        <f>IF(AND(U13&lt;0,U14&gt;0),#REF!,"")</f>
        <v/>
      </c>
    </row>
    <row r="15" spans="1:23" s="10" customFormat="1" x14ac:dyDescent="0.25">
      <c r="A15" s="11">
        <f t="shared" si="10"/>
        <v>7</v>
      </c>
      <c r="B15" s="10">
        <f t="shared" si="11"/>
        <v>9.0469093324403609</v>
      </c>
      <c r="C15" s="10">
        <f t="shared" si="12"/>
        <v>7.2074394832896012</v>
      </c>
      <c r="D15" s="10">
        <f t="shared" si="0"/>
        <v>0.56000000000000005</v>
      </c>
      <c r="E15" s="10">
        <f t="shared" si="1"/>
        <v>10</v>
      </c>
      <c r="F15" s="10">
        <f t="shared" si="2"/>
        <v>30</v>
      </c>
      <c r="G15" s="10">
        <f t="shared" si="13"/>
        <v>-1.5130906675596396</v>
      </c>
      <c r="H15" s="10">
        <f t="shared" si="14"/>
        <v>3.2825467324470399</v>
      </c>
      <c r="I15" s="10">
        <f t="shared" si="3"/>
        <v>-1.2671896130161593</v>
      </c>
      <c r="J15" s="10">
        <f t="shared" si="15"/>
        <v>-45.820101747043928</v>
      </c>
      <c r="K15" s="11" t="str">
        <f t="shared" si="16"/>
        <v/>
      </c>
      <c r="L15" s="10">
        <f t="shared" si="4"/>
        <v>3.2</v>
      </c>
      <c r="M15" s="10">
        <f t="shared" si="5"/>
        <v>0</v>
      </c>
      <c r="N15" s="10">
        <f t="shared" si="17"/>
        <v>-3.3525605167103993</v>
      </c>
      <c r="O15" s="10">
        <f t="shared" si="6"/>
        <v>-2.807716652324177</v>
      </c>
      <c r="P15" s="10">
        <f t="shared" si="18"/>
        <v>-56.926191934969424</v>
      </c>
      <c r="Q15" s="11" t="str">
        <f t="shared" si="7"/>
        <v/>
      </c>
      <c r="R15" s="11"/>
      <c r="S15" s="10">
        <f t="shared" si="19"/>
        <v>-1.8394698491507597</v>
      </c>
      <c r="T15" s="10">
        <f t="shared" si="8"/>
        <v>-1.5322268882535535</v>
      </c>
      <c r="U15" s="10">
        <f t="shared" si="9"/>
        <v>-11.076537849260424</v>
      </c>
      <c r="V15" s="11" t="str">
        <f>IF(AND(U14&lt;0,U15&gt;0),#REF!,"")</f>
        <v/>
      </c>
    </row>
    <row r="16" spans="1:23" s="10" customFormat="1" x14ac:dyDescent="0.25">
      <c r="A16" s="11">
        <f t="shared" si="10"/>
        <v>8</v>
      </c>
      <c r="B16" s="10">
        <f t="shared" si="11"/>
        <v>9.2278475190891687</v>
      </c>
      <c r="C16" s="10">
        <f t="shared" si="12"/>
        <v>7.351588272955393</v>
      </c>
      <c r="D16" s="10">
        <f t="shared" si="0"/>
        <v>0.42</v>
      </c>
      <c r="E16" s="10">
        <f t="shared" si="1"/>
        <v>10</v>
      </c>
      <c r="F16" s="10">
        <f t="shared" si="2"/>
        <v>20</v>
      </c>
      <c r="G16" s="10">
        <f t="shared" si="13"/>
        <v>-1.1921524809108313</v>
      </c>
      <c r="H16" s="10">
        <f t="shared" si="14"/>
        <v>2.0903942515362086</v>
      </c>
      <c r="I16" s="10">
        <f t="shared" si="3"/>
        <v>-0.96932906245551642</v>
      </c>
      <c r="J16" s="10">
        <f t="shared" si="15"/>
        <v>-46.789430809499443</v>
      </c>
      <c r="K16" s="11" t="str">
        <f t="shared" si="16"/>
        <v/>
      </c>
      <c r="L16" s="10">
        <f t="shared" si="4"/>
        <v>3.2</v>
      </c>
      <c r="M16" s="10">
        <f t="shared" si="5"/>
        <v>0</v>
      </c>
      <c r="N16" s="10">
        <f t="shared" si="17"/>
        <v>-3.068411727044607</v>
      </c>
      <c r="O16" s="10">
        <f t="shared" si="6"/>
        <v>-2.4948995285663695</v>
      </c>
      <c r="P16" s="10">
        <f t="shared" si="18"/>
        <v>-59.421091463535795</v>
      </c>
      <c r="Q16" s="11" t="str">
        <f t="shared" si="7"/>
        <v/>
      </c>
      <c r="R16" s="11"/>
      <c r="S16" s="10">
        <f t="shared" si="19"/>
        <v>-1.8762592461337757</v>
      </c>
      <c r="T16" s="10">
        <f t="shared" si="8"/>
        <v>-1.5159852832380663</v>
      </c>
      <c r="U16" s="10">
        <f t="shared" si="9"/>
        <v>-12.59252313249849</v>
      </c>
      <c r="V16" s="11" t="str">
        <f>IF(AND(U15&lt;0,U16&gt;0),#REF!,"")</f>
        <v/>
      </c>
    </row>
    <row r="17" spans="1:22" s="10" customFormat="1" x14ac:dyDescent="0.25">
      <c r="A17" s="11">
        <f t="shared" si="10"/>
        <v>9</v>
      </c>
      <c r="B17" s="10">
        <f t="shared" si="11"/>
        <v>9.4124044694709514</v>
      </c>
      <c r="C17" s="10">
        <f t="shared" si="12"/>
        <v>7.4986200384145008</v>
      </c>
      <c r="D17" s="10">
        <f t="shared" si="0"/>
        <v>0.28000000000000003</v>
      </c>
      <c r="E17" s="10">
        <f t="shared" si="1"/>
        <v>10</v>
      </c>
      <c r="F17" s="10">
        <f t="shared" si="2"/>
        <v>10</v>
      </c>
      <c r="G17" s="10">
        <f t="shared" si="13"/>
        <v>-0.86759553052904792</v>
      </c>
      <c r="H17" s="10">
        <f t="shared" si="14"/>
        <v>1.2227987210071607</v>
      </c>
      <c r="I17" s="10">
        <f t="shared" si="3"/>
        <v>-0.68488792344912863</v>
      </c>
      <c r="J17" s="10">
        <f t="shared" si="15"/>
        <v>-47.474318732948575</v>
      </c>
      <c r="K17" s="11" t="str">
        <f t="shared" si="16"/>
        <v/>
      </c>
      <c r="L17" s="10">
        <f t="shared" si="4"/>
        <v>3.2</v>
      </c>
      <c r="M17" s="10">
        <f t="shared" si="5"/>
        <v>0</v>
      </c>
      <c r="N17" s="10">
        <f t="shared" si="17"/>
        <v>-2.7813799615854995</v>
      </c>
      <c r="O17" s="10">
        <f t="shared" si="6"/>
        <v>-2.1956470258113332</v>
      </c>
      <c r="P17" s="10">
        <f t="shared" si="18"/>
        <v>-61.616738489347128</v>
      </c>
      <c r="Q17" s="11" t="str">
        <f t="shared" si="7"/>
        <v/>
      </c>
      <c r="R17" s="11"/>
      <c r="S17" s="10">
        <f t="shared" si="19"/>
        <v>-1.9137844310564507</v>
      </c>
      <c r="T17" s="10">
        <f t="shared" si="8"/>
        <v>-1.4999158392357423</v>
      </c>
      <c r="U17" s="10">
        <f t="shared" si="9"/>
        <v>-14.092438971734232</v>
      </c>
      <c r="V17" s="11" t="str">
        <f>IF(AND(U16&lt;0,U17&gt;0),#REF!,"")</f>
        <v/>
      </c>
    </row>
    <row r="18" spans="1:22" s="10" customFormat="1" x14ac:dyDescent="0.25">
      <c r="A18" s="11">
        <f t="shared" si="10"/>
        <v>10</v>
      </c>
      <c r="B18" s="10">
        <f t="shared" si="11"/>
        <v>9.6006525588603715</v>
      </c>
      <c r="C18" s="10">
        <f t="shared" si="12"/>
        <v>7.6485924391827913</v>
      </c>
      <c r="D18" s="10">
        <f t="shared" si="0"/>
        <v>0.14000000000000001</v>
      </c>
      <c r="E18" s="10">
        <f t="shared" si="1"/>
        <v>10</v>
      </c>
      <c r="F18" s="10">
        <f t="shared" si="2"/>
        <v>0</v>
      </c>
      <c r="G18" s="10">
        <f t="shared" si="13"/>
        <v>-0.53934744113962907</v>
      </c>
      <c r="H18" s="10">
        <f t="shared" si="14"/>
        <v>0.68345127986753162</v>
      </c>
      <c r="I18" s="10">
        <f t="shared" si="3"/>
        <v>-0.41336490343613119</v>
      </c>
      <c r="J18" s="10">
        <f t="shared" si="15"/>
        <v>-47.887683636384708</v>
      </c>
      <c r="K18" s="11" t="str">
        <f t="shared" si="16"/>
        <v/>
      </c>
      <c r="L18" s="10">
        <f t="shared" si="4"/>
        <v>3.2</v>
      </c>
      <c r="M18" s="10">
        <f t="shared" si="5"/>
        <v>0</v>
      </c>
      <c r="N18" s="10">
        <f t="shared" si="17"/>
        <v>-2.4914075608172084</v>
      </c>
      <c r="O18" s="10">
        <f t="shared" si="6"/>
        <v>-1.9094564416977309</v>
      </c>
      <c r="P18" s="10">
        <f t="shared" si="18"/>
        <v>-63.526194931044856</v>
      </c>
      <c r="Q18" s="11" t="str">
        <f t="shared" si="7"/>
        <v/>
      </c>
      <c r="R18" s="11"/>
      <c r="S18" s="10">
        <f t="shared" si="19"/>
        <v>-1.9520601196775802</v>
      </c>
      <c r="T18" s="10">
        <f t="shared" si="8"/>
        <v>-1.4840167313398438</v>
      </c>
      <c r="U18" s="10">
        <f t="shared" si="9"/>
        <v>-15.576455703074076</v>
      </c>
      <c r="V18" s="11" t="str">
        <f>IF(AND(U17&lt;0,U18&gt;0),#REF!,"")</f>
        <v/>
      </c>
    </row>
    <row r="19" spans="1:22" s="10" customFormat="1" x14ac:dyDescent="0.25">
      <c r="A19" s="11">
        <f t="shared" si="10"/>
        <v>11</v>
      </c>
      <c r="B19" s="10">
        <f t="shared" si="11"/>
        <v>9.7926656100375791</v>
      </c>
      <c r="C19" s="10">
        <f t="shared" si="12"/>
        <v>7.8015642879664471</v>
      </c>
      <c r="D19" s="10">
        <f t="shared" si="0"/>
        <v>0</v>
      </c>
      <c r="E19" s="10">
        <f t="shared" si="1"/>
        <v>0</v>
      </c>
      <c r="F19" s="10">
        <f t="shared" si="2"/>
        <v>0</v>
      </c>
      <c r="G19" s="10">
        <f t="shared" si="13"/>
        <v>9.7926656100375791</v>
      </c>
      <c r="H19" s="10">
        <f t="shared" si="14"/>
        <v>10.476116889905111</v>
      </c>
      <c r="I19" s="10">
        <f t="shared" si="3"/>
        <v>7.2866628910473894</v>
      </c>
      <c r="J19" s="10">
        <f t="shared" si="15"/>
        <v>-40.601020745337316</v>
      </c>
      <c r="K19" s="11" t="str">
        <f t="shared" si="16"/>
        <v/>
      </c>
      <c r="L19" s="10">
        <f t="shared" si="4"/>
        <v>3.2</v>
      </c>
      <c r="M19" s="10">
        <f t="shared" si="5"/>
        <v>0</v>
      </c>
      <c r="N19" s="10">
        <f t="shared" si="17"/>
        <v>7.8015642879664471</v>
      </c>
      <c r="O19" s="10">
        <f t="shared" si="6"/>
        <v>5.8050965133514358</v>
      </c>
      <c r="P19" s="10">
        <f t="shared" si="18"/>
        <v>-57.721098417693419</v>
      </c>
      <c r="Q19" s="11" t="str">
        <f t="shared" si="7"/>
        <v/>
      </c>
      <c r="R19" s="11"/>
      <c r="S19" s="10">
        <f t="shared" si="19"/>
        <v>-1.991101322071132</v>
      </c>
      <c r="T19" s="10">
        <f t="shared" si="8"/>
        <v>-1.4682861539876417</v>
      </c>
      <c r="U19" s="10">
        <f t="shared" si="9"/>
        <v>-17.04474185706172</v>
      </c>
      <c r="V19" s="11" t="str">
        <f>IF(AND(U18&lt;0,U19&gt;0),#REF!,"")</f>
        <v/>
      </c>
    </row>
    <row r="20" spans="1:22" s="10" customFormat="1" x14ac:dyDescent="0.25">
      <c r="A20" s="11">
        <f t="shared" si="10"/>
        <v>12</v>
      </c>
      <c r="B20" s="10">
        <f t="shared" si="11"/>
        <v>9.988518922238331</v>
      </c>
      <c r="C20" s="10">
        <f t="shared" si="12"/>
        <v>7.9575955737257758</v>
      </c>
      <c r="D20" s="10">
        <f t="shared" si="0"/>
        <v>0</v>
      </c>
      <c r="E20" s="10">
        <f t="shared" si="1"/>
        <v>0</v>
      </c>
      <c r="F20" s="10">
        <f t="shared" si="2"/>
        <v>0</v>
      </c>
      <c r="G20" s="10">
        <f t="shared" si="13"/>
        <v>9.988518922238331</v>
      </c>
      <c r="H20" s="10">
        <f t="shared" si="14"/>
        <v>20.464635812143442</v>
      </c>
      <c r="I20" s="10">
        <f t="shared" si="3"/>
        <v>7.215918591134308</v>
      </c>
      <c r="J20" s="10">
        <f t="shared" si="15"/>
        <v>-33.385102154203011</v>
      </c>
      <c r="K20" s="11" t="str">
        <f t="shared" si="16"/>
        <v/>
      </c>
      <c r="L20" s="10">
        <f t="shared" si="4"/>
        <v>3.2</v>
      </c>
      <c r="M20" s="10">
        <f t="shared" si="5"/>
        <v>0</v>
      </c>
      <c r="N20" s="10">
        <f t="shared" si="17"/>
        <v>7.9575955737257758</v>
      </c>
      <c r="O20" s="10">
        <f t="shared" si="6"/>
        <v>5.7487363530276347</v>
      </c>
      <c r="P20" s="10">
        <f t="shared" si="18"/>
        <v>-51.972362064665788</v>
      </c>
      <c r="Q20" s="11" t="str">
        <f t="shared" si="7"/>
        <v/>
      </c>
      <c r="R20" s="11"/>
      <c r="S20" s="10">
        <f t="shared" si="19"/>
        <v>-2.0309233485125553</v>
      </c>
      <c r="T20" s="10">
        <f t="shared" si="8"/>
        <v>-1.4527223207553732</v>
      </c>
      <c r="U20" s="10">
        <f t="shared" si="9"/>
        <v>-18.497464177817093</v>
      </c>
      <c r="V20" s="11" t="str">
        <f>IF(AND(U19&lt;0,U20&gt;0),#REF!,"")</f>
        <v/>
      </c>
    </row>
    <row r="21" spans="1:22" s="10" customFormat="1" x14ac:dyDescent="0.25">
      <c r="A21" s="11">
        <f t="shared" si="10"/>
        <v>13</v>
      </c>
      <c r="B21" s="10">
        <f t="shared" si="11"/>
        <v>10.188289300683097</v>
      </c>
      <c r="C21" s="10">
        <f t="shared" si="12"/>
        <v>8.1167474852002908</v>
      </c>
      <c r="D21" s="10">
        <f t="shared" si="0"/>
        <v>0</v>
      </c>
      <c r="E21" s="10">
        <f t="shared" si="1"/>
        <v>0</v>
      </c>
      <c r="F21" s="10">
        <f t="shared" si="2"/>
        <v>0</v>
      </c>
      <c r="G21" s="10">
        <f t="shared" si="13"/>
        <v>10.188289300683097</v>
      </c>
      <c r="H21" s="10">
        <f t="shared" si="14"/>
        <v>30.652925112826537</v>
      </c>
      <c r="I21" s="10">
        <f t="shared" si="3"/>
        <v>7.1458611290844614</v>
      </c>
      <c r="J21" s="10">
        <f t="shared" si="15"/>
        <v>-26.239241025118549</v>
      </c>
      <c r="K21" s="11" t="str">
        <f t="shared" si="16"/>
        <v/>
      </c>
      <c r="L21" s="10">
        <f t="shared" si="4"/>
        <v>3.2</v>
      </c>
      <c r="M21" s="10">
        <f t="shared" si="5"/>
        <v>0</v>
      </c>
      <c r="N21" s="10">
        <f t="shared" si="17"/>
        <v>8.1167474852002908</v>
      </c>
      <c r="O21" s="10">
        <f t="shared" si="6"/>
        <v>5.6929233787263964</v>
      </c>
      <c r="P21" s="10">
        <f t="shared" si="18"/>
        <v>-46.27943868593939</v>
      </c>
      <c r="Q21" s="11" t="str">
        <f t="shared" si="7"/>
        <v/>
      </c>
      <c r="R21" s="11"/>
      <c r="S21" s="10">
        <f t="shared" si="19"/>
        <v>-2.0715418154828065</v>
      </c>
      <c r="T21" s="10">
        <f t="shared" si="8"/>
        <v>-1.437323464155366</v>
      </c>
      <c r="U21" s="10">
        <f t="shared" si="9"/>
        <v>-19.934787641972459</v>
      </c>
      <c r="V21" s="11" t="str">
        <f>IF(AND(U20&lt;0,U21&gt;0),#REF!,"")</f>
        <v/>
      </c>
    </row>
    <row r="22" spans="1:22" s="10" customFormat="1" x14ac:dyDescent="0.25">
      <c r="A22" s="11">
        <f t="shared" si="10"/>
        <v>14</v>
      </c>
      <c r="B22" s="10">
        <f t="shared" si="11"/>
        <v>10.392055086696759</v>
      </c>
      <c r="C22" s="10">
        <f t="shared" si="12"/>
        <v>8.2790824349042964</v>
      </c>
      <c r="D22" s="10">
        <f t="shared" si="0"/>
        <v>0</v>
      </c>
      <c r="E22" s="10">
        <f t="shared" si="1"/>
        <v>0</v>
      </c>
      <c r="F22" s="10">
        <f t="shared" si="2"/>
        <v>0</v>
      </c>
      <c r="G22" s="10">
        <f t="shared" si="13"/>
        <v>10.392055086696759</v>
      </c>
      <c r="H22" s="10">
        <f t="shared" si="14"/>
        <v>41.044980199523295</v>
      </c>
      <c r="I22" s="10">
        <f t="shared" si="3"/>
        <v>7.0764838365690785</v>
      </c>
      <c r="J22" s="10">
        <f t="shared" si="15"/>
        <v>-19.16275718854947</v>
      </c>
      <c r="K22" s="11" t="str">
        <f t="shared" si="16"/>
        <v/>
      </c>
      <c r="L22" s="10">
        <f t="shared" si="4"/>
        <v>3.2</v>
      </c>
      <c r="M22" s="10">
        <f t="shared" si="5"/>
        <v>0</v>
      </c>
      <c r="N22" s="10">
        <f t="shared" si="17"/>
        <v>8.2790824349042964</v>
      </c>
      <c r="O22" s="10">
        <f t="shared" si="6"/>
        <v>5.6376522779620624</v>
      </c>
      <c r="P22" s="10">
        <f t="shared" si="18"/>
        <v>-40.641786407977328</v>
      </c>
      <c r="Q22" s="11" t="str">
        <f t="shared" si="7"/>
        <v/>
      </c>
      <c r="R22" s="11"/>
      <c r="S22" s="10">
        <f t="shared" si="19"/>
        <v>-2.1129726517924627</v>
      </c>
      <c r="T22" s="10">
        <f t="shared" si="8"/>
        <v>-1.4220878354353192</v>
      </c>
      <c r="U22" s="10">
        <f t="shared" si="9"/>
        <v>-21.35687547740778</v>
      </c>
      <c r="V22" s="11" t="str">
        <f>IF(AND(U21&lt;0,U22&gt;0),#REF!,"")</f>
        <v/>
      </c>
    </row>
    <row r="23" spans="1:22" s="10" customFormat="1" x14ac:dyDescent="0.25">
      <c r="A23" s="11">
        <f t="shared" si="10"/>
        <v>15</v>
      </c>
      <c r="B23" s="10">
        <f t="shared" si="11"/>
        <v>10.599896188430694</v>
      </c>
      <c r="C23" s="10">
        <f t="shared" si="12"/>
        <v>8.4446640836023832</v>
      </c>
      <c r="D23" s="10">
        <f t="shared" si="0"/>
        <v>0</v>
      </c>
      <c r="E23" s="10">
        <f t="shared" si="1"/>
        <v>0</v>
      </c>
      <c r="F23" s="10">
        <f t="shared" si="2"/>
        <v>0</v>
      </c>
      <c r="G23" s="10">
        <f t="shared" si="13"/>
        <v>10.599896188430694</v>
      </c>
      <c r="H23" s="10">
        <f t="shared" si="14"/>
        <v>51.644876387953985</v>
      </c>
      <c r="I23" s="10">
        <f t="shared" si="3"/>
        <v>7.0077801100004464</v>
      </c>
      <c r="J23" s="10">
        <f t="shared" si="15"/>
        <v>-12.154977078549024</v>
      </c>
      <c r="K23" s="11" t="str">
        <f t="shared" si="16"/>
        <v/>
      </c>
      <c r="L23" s="10">
        <f t="shared" si="4"/>
        <v>3.2</v>
      </c>
      <c r="M23" s="10">
        <f t="shared" si="5"/>
        <v>0</v>
      </c>
      <c r="N23" s="10">
        <f t="shared" si="17"/>
        <v>8.4446640836023832</v>
      </c>
      <c r="O23" s="10">
        <f t="shared" si="6"/>
        <v>5.5829177898265083</v>
      </c>
      <c r="P23" s="10">
        <f t="shared" si="18"/>
        <v>-35.058868618150818</v>
      </c>
      <c r="Q23" s="11" t="str">
        <f t="shared" si="7"/>
        <v/>
      </c>
      <c r="R23" s="11"/>
      <c r="S23" s="10">
        <f t="shared" si="19"/>
        <v>-2.1552321048283112</v>
      </c>
      <c r="T23" s="10">
        <f t="shared" si="8"/>
        <v>-1.4070137043797044</v>
      </c>
      <c r="U23" s="10">
        <f t="shared" si="9"/>
        <v>-22.763889181787484</v>
      </c>
      <c r="V23" s="11" t="str">
        <f>IF(AND(U22&lt;0,U23&gt;0),#REF!,"")</f>
        <v/>
      </c>
    </row>
    <row r="24" spans="1:22" s="10" customFormat="1" x14ac:dyDescent="0.25">
      <c r="A24" s="11">
        <f t="shared" si="10"/>
        <v>16</v>
      </c>
      <c r="B24" s="10">
        <f t="shared" si="11"/>
        <v>10.811894112199308</v>
      </c>
      <c r="C24" s="10">
        <f t="shared" si="12"/>
        <v>8.6135573652744313</v>
      </c>
      <c r="D24" s="10">
        <f t="shared" si="0"/>
        <v>0</v>
      </c>
      <c r="E24" s="10">
        <f t="shared" si="1"/>
        <v>0</v>
      </c>
      <c r="F24" s="10">
        <f t="shared" si="2"/>
        <v>0</v>
      </c>
      <c r="G24" s="10">
        <f t="shared" si="13"/>
        <v>10.811894112199308</v>
      </c>
      <c r="H24" s="10">
        <f t="shared" si="14"/>
        <v>62.456770500153297</v>
      </c>
      <c r="I24" s="10">
        <f t="shared" si="3"/>
        <v>6.9397434099033539</v>
      </c>
      <c r="J24" s="10">
        <f t="shared" si="15"/>
        <v>-5.21523366864567</v>
      </c>
      <c r="K24" s="11" t="str">
        <f t="shared" si="16"/>
        <v/>
      </c>
      <c r="L24" s="10">
        <f t="shared" si="4"/>
        <v>3.2</v>
      </c>
      <c r="M24" s="10">
        <f t="shared" si="5"/>
        <v>0</v>
      </c>
      <c r="N24" s="10">
        <f t="shared" si="17"/>
        <v>8.6135573652744313</v>
      </c>
      <c r="O24" s="10">
        <f t="shared" si="6"/>
        <v>5.5287147044883875</v>
      </c>
      <c r="P24" s="10">
        <f t="shared" si="18"/>
        <v>-29.530153913662431</v>
      </c>
      <c r="Q24" s="11" t="str">
        <f t="shared" si="7"/>
        <v/>
      </c>
      <c r="R24" s="11"/>
      <c r="S24" s="10">
        <f t="shared" si="19"/>
        <v>-2.1983367469248769</v>
      </c>
      <c r="T24" s="10">
        <f t="shared" si="8"/>
        <v>-1.3920993591132793</v>
      </c>
      <c r="U24" s="10">
        <f t="shared" si="9"/>
        <v>-24.155988540900761</v>
      </c>
      <c r="V24" s="11" t="str">
        <f>IF(AND(U23&lt;0,U24&gt;0),#REF!,"")</f>
        <v/>
      </c>
    </row>
    <row r="25" spans="1:22" s="10" customFormat="1" x14ac:dyDescent="0.25">
      <c r="A25" s="11">
        <f t="shared" si="10"/>
        <v>17</v>
      </c>
      <c r="B25" s="10">
        <f t="shared" si="11"/>
        <v>11.028131994443294</v>
      </c>
      <c r="C25" s="10">
        <f t="shared" si="12"/>
        <v>8.7858285125799203</v>
      </c>
      <c r="D25" s="10">
        <f t="shared" si="0"/>
        <v>0</v>
      </c>
      <c r="E25" s="10">
        <f t="shared" si="1"/>
        <v>0</v>
      </c>
      <c r="F25" s="10">
        <f t="shared" si="2"/>
        <v>0</v>
      </c>
      <c r="G25" s="10">
        <f t="shared" si="13"/>
        <v>11.028131994443294</v>
      </c>
      <c r="H25" s="10">
        <f t="shared" si="14"/>
        <v>73.484902494596597</v>
      </c>
      <c r="I25" s="10">
        <f t="shared" si="3"/>
        <v>6.8723672602926431</v>
      </c>
      <c r="J25" s="10">
        <f t="shared" si="15"/>
        <v>1.6571335916469732</v>
      </c>
      <c r="K25" s="11">
        <f t="shared" si="16"/>
        <v>17</v>
      </c>
      <c r="L25" s="10">
        <f t="shared" si="4"/>
        <v>3.2</v>
      </c>
      <c r="M25" s="10">
        <f t="shared" si="5"/>
        <v>0</v>
      </c>
      <c r="N25" s="10">
        <f t="shared" si="17"/>
        <v>8.7858285125799203</v>
      </c>
      <c r="O25" s="10">
        <f t="shared" si="6"/>
        <v>5.4750378626972394</v>
      </c>
      <c r="P25" s="10">
        <f t="shared" si="18"/>
        <v>-24.055116050965193</v>
      </c>
      <c r="Q25" s="11" t="str">
        <f t="shared" si="7"/>
        <v/>
      </c>
      <c r="R25" s="11"/>
      <c r="S25" s="10">
        <f t="shared" si="19"/>
        <v>-2.2423034818633738</v>
      </c>
      <c r="T25" s="10">
        <f t="shared" si="8"/>
        <v>-1.3773431059066781</v>
      </c>
      <c r="U25" s="10">
        <f t="shared" si="9"/>
        <v>-25.53333164680744</v>
      </c>
      <c r="V25" s="11" t="str">
        <f>IF(AND(U24&lt;0,U25&gt;0),#REF!,"")</f>
        <v/>
      </c>
    </row>
    <row r="26" spans="1:22" s="10" customFormat="1" x14ac:dyDescent="0.25">
      <c r="A26" s="11">
        <f t="shared" si="10"/>
        <v>18</v>
      </c>
      <c r="B26" s="10">
        <f t="shared" si="11"/>
        <v>11.248694634332161</v>
      </c>
      <c r="C26" s="10">
        <f t="shared" si="12"/>
        <v>8.9615450828315186</v>
      </c>
      <c r="D26" s="10">
        <f t="shared" si="0"/>
        <v>0</v>
      </c>
      <c r="E26" s="10">
        <f t="shared" si="1"/>
        <v>0</v>
      </c>
      <c r="F26" s="10">
        <f t="shared" si="2"/>
        <v>0</v>
      </c>
      <c r="G26" s="10">
        <f t="shared" si="13"/>
        <v>11.248694634332161</v>
      </c>
      <c r="H26" s="10">
        <f t="shared" si="14"/>
        <v>84.73359712892875</v>
      </c>
      <c r="I26" s="10">
        <f t="shared" si="3"/>
        <v>6.8056452480567922</v>
      </c>
      <c r="J26" s="10">
        <f t="shared" si="15"/>
        <v>8.4627788397037662</v>
      </c>
      <c r="K26" s="11" t="str">
        <f t="shared" si="16"/>
        <v/>
      </c>
      <c r="L26" s="10">
        <f t="shared" si="4"/>
        <v>3.2</v>
      </c>
      <c r="M26" s="10">
        <f t="shared" si="5"/>
        <v>0</v>
      </c>
      <c r="N26" s="10">
        <f t="shared" si="17"/>
        <v>8.9615450828315186</v>
      </c>
      <c r="O26" s="10">
        <f t="shared" si="6"/>
        <v>5.421882155292411</v>
      </c>
      <c r="P26" s="10">
        <f t="shared" si="18"/>
        <v>-18.633233895672781</v>
      </c>
      <c r="Q26" s="11" t="str">
        <f t="shared" si="7"/>
        <v/>
      </c>
      <c r="R26" s="11"/>
      <c r="S26" s="10">
        <f t="shared" si="19"/>
        <v>-2.2871495515006419</v>
      </c>
      <c r="T26" s="10">
        <f t="shared" si="8"/>
        <v>-1.3627432689840677</v>
      </c>
      <c r="U26" s="10">
        <f t="shared" si="9"/>
        <v>-26.896074915791509</v>
      </c>
      <c r="V26" s="11" t="str">
        <f>IF(AND(U25&lt;0,U26&gt;0),#REF!,"")</f>
        <v/>
      </c>
    </row>
    <row r="27" spans="1:22" s="10" customFormat="1" x14ac:dyDescent="0.25">
      <c r="A27" s="11">
        <f t="shared" si="10"/>
        <v>19</v>
      </c>
      <c r="B27" s="10">
        <f t="shared" si="11"/>
        <v>11.473668527018804</v>
      </c>
      <c r="C27" s="10">
        <f t="shared" si="12"/>
        <v>9.1407759844881493</v>
      </c>
      <c r="D27" s="10">
        <f t="shared" si="0"/>
        <v>0</v>
      </c>
      <c r="E27" s="10">
        <f t="shared" si="1"/>
        <v>0</v>
      </c>
      <c r="F27" s="10">
        <f t="shared" si="2"/>
        <v>0</v>
      </c>
      <c r="G27" s="10">
        <f t="shared" si="13"/>
        <v>11.473668527018804</v>
      </c>
      <c r="H27" s="10">
        <f t="shared" si="14"/>
        <v>96.207265655947552</v>
      </c>
      <c r="I27" s="10">
        <f t="shared" si="3"/>
        <v>6.7395710223475032</v>
      </c>
      <c r="J27" s="10">
        <f t="shared" si="15"/>
        <v>15.202349862051269</v>
      </c>
      <c r="K27" s="11" t="str">
        <f t="shared" si="16"/>
        <v/>
      </c>
      <c r="L27" s="10">
        <f t="shared" si="4"/>
        <v>3.2</v>
      </c>
      <c r="M27" s="10">
        <f t="shared" si="5"/>
        <v>0</v>
      </c>
      <c r="N27" s="10">
        <f t="shared" si="17"/>
        <v>9.1407759844881493</v>
      </c>
      <c r="O27" s="10">
        <f t="shared" si="6"/>
        <v>5.3692425227167568</v>
      </c>
      <c r="P27" s="10">
        <f t="shared" si="18"/>
        <v>-13.263991372956024</v>
      </c>
      <c r="Q27" s="11" t="str">
        <f t="shared" si="7"/>
        <v/>
      </c>
      <c r="R27" s="11"/>
      <c r="S27" s="10">
        <f t="shared" si="19"/>
        <v>-2.3328925425306544</v>
      </c>
      <c r="T27" s="10">
        <f t="shared" si="8"/>
        <v>-1.3482981903328364</v>
      </c>
      <c r="U27" s="10">
        <f t="shared" si="9"/>
        <v>-28.244373106124346</v>
      </c>
      <c r="V27" s="11" t="str">
        <f>IF(AND(U26&lt;0,U27&gt;0),#REF!,"")</f>
        <v/>
      </c>
    </row>
    <row r="28" spans="1:22" s="10" customFormat="1" x14ac:dyDescent="0.25">
      <c r="A28" s="11">
        <f t="shared" si="10"/>
        <v>20</v>
      </c>
      <c r="B28" s="10">
        <f t="shared" si="11"/>
        <v>11.703141897559179</v>
      </c>
      <c r="C28" s="10">
        <f t="shared" si="12"/>
        <v>9.3235915041779123</v>
      </c>
      <c r="D28" s="10">
        <f t="shared" si="0"/>
        <v>0</v>
      </c>
      <c r="E28" s="10">
        <f t="shared" si="1"/>
        <v>0</v>
      </c>
      <c r="F28" s="10">
        <f t="shared" si="2"/>
        <v>0</v>
      </c>
      <c r="G28" s="10">
        <f t="shared" si="13"/>
        <v>11.703141897559179</v>
      </c>
      <c r="H28" s="10">
        <f t="shared" si="14"/>
        <v>107.91040755350673</v>
      </c>
      <c r="I28" s="10">
        <f t="shared" si="3"/>
        <v>6.6741382939751972</v>
      </c>
      <c r="J28" s="10">
        <f t="shared" si="15"/>
        <v>21.876488156026468</v>
      </c>
      <c r="K28" s="11" t="str">
        <f t="shared" si="16"/>
        <v/>
      </c>
      <c r="L28" s="10">
        <f t="shared" si="4"/>
        <v>3.2</v>
      </c>
      <c r="M28" s="10">
        <f t="shared" si="5"/>
        <v>0</v>
      </c>
      <c r="N28" s="10">
        <f t="shared" si="17"/>
        <v>9.3235915041779123</v>
      </c>
      <c r="O28" s="10">
        <f t="shared" si="6"/>
        <v>5.3171139545350412</v>
      </c>
      <c r="P28" s="10">
        <f t="shared" si="18"/>
        <v>-7.9468774184209829</v>
      </c>
      <c r="Q28" s="11" t="str">
        <f t="shared" si="7"/>
        <v/>
      </c>
      <c r="R28" s="11"/>
      <c r="S28" s="10">
        <f t="shared" si="19"/>
        <v>-2.3795503933812672</v>
      </c>
      <c r="T28" s="10">
        <f t="shared" si="8"/>
        <v>-1.3340062295153081</v>
      </c>
      <c r="U28" s="10">
        <f t="shared" si="9"/>
        <v>-29.578379335639653</v>
      </c>
      <c r="V28" s="11" t="str">
        <f>IF(AND(U27&lt;0,U28&gt;0),#REF!,"")</f>
        <v/>
      </c>
    </row>
    <row r="29" spans="1:22" s="10" customFormat="1" x14ac:dyDescent="0.25">
      <c r="A29" s="11">
        <f t="shared" si="10"/>
        <v>21</v>
      </c>
      <c r="B29" s="10">
        <f t="shared" si="11"/>
        <v>11.937204735510363</v>
      </c>
      <c r="C29" s="10">
        <f t="shared" si="12"/>
        <v>9.5100633342614707</v>
      </c>
      <c r="D29" s="10">
        <f t="shared" si="0"/>
        <v>0</v>
      </c>
      <c r="E29" s="10">
        <f t="shared" si="1"/>
        <v>0</v>
      </c>
      <c r="F29" s="10">
        <f t="shared" si="2"/>
        <v>0</v>
      </c>
      <c r="G29" s="10">
        <f t="shared" si="13"/>
        <v>11.937204735510363</v>
      </c>
      <c r="H29" s="10">
        <f t="shared" si="14"/>
        <v>119.84761228901709</v>
      </c>
      <c r="I29" s="10">
        <f t="shared" si="3"/>
        <v>6.6093408348103893</v>
      </c>
      <c r="J29" s="10">
        <f t="shared" si="15"/>
        <v>28.485828990836858</v>
      </c>
      <c r="K29" s="11" t="str">
        <f t="shared" si="16"/>
        <v/>
      </c>
      <c r="L29" s="10">
        <f t="shared" si="4"/>
        <v>3.2</v>
      </c>
      <c r="M29" s="10">
        <f t="shared" si="5"/>
        <v>0</v>
      </c>
      <c r="N29" s="10">
        <f t="shared" si="17"/>
        <v>9.5100633342614707</v>
      </c>
      <c r="O29" s="10">
        <f t="shared" si="6"/>
        <v>5.2654914889570312</v>
      </c>
      <c r="P29" s="10">
        <f t="shared" si="18"/>
        <v>-2.6813859294639517</v>
      </c>
      <c r="Q29" s="11" t="str">
        <f t="shared" si="7"/>
        <v/>
      </c>
      <c r="R29" s="11"/>
      <c r="S29" s="10">
        <f t="shared" si="19"/>
        <v>-2.4271414012488925</v>
      </c>
      <c r="T29" s="10">
        <f t="shared" si="8"/>
        <v>-1.3198657634824458</v>
      </c>
      <c r="U29" s="10">
        <f t="shared" si="9"/>
        <v>-30.8982450991221</v>
      </c>
      <c r="V29" s="11" t="str">
        <f>IF(AND(U28&lt;0,U29&gt;0),#REF!,"")</f>
        <v/>
      </c>
    </row>
    <row r="30" spans="1:22" x14ac:dyDescent="0.25">
      <c r="A30" s="11">
        <f t="shared" si="10"/>
        <v>22</v>
      </c>
      <c r="B30" s="10">
        <f t="shared" si="11"/>
        <v>12.175948830220571</v>
      </c>
      <c r="C30" s="10">
        <f t="shared" si="12"/>
        <v>9.7002646009467011</v>
      </c>
      <c r="D30" s="10">
        <f t="shared" si="0"/>
        <v>0</v>
      </c>
      <c r="E30" s="10">
        <f t="shared" si="1"/>
        <v>0</v>
      </c>
      <c r="F30" s="10">
        <f t="shared" si="2"/>
        <v>0</v>
      </c>
      <c r="G30" s="10">
        <f t="shared" si="13"/>
        <v>12.175948830220571</v>
      </c>
      <c r="H30" s="10">
        <f t="shared" si="14"/>
        <v>132.02356111923766</v>
      </c>
      <c r="I30" s="10">
        <f t="shared" si="3"/>
        <v>6.5451724771908726</v>
      </c>
      <c r="J30" s="10">
        <f t="shared" si="15"/>
        <v>35.031001468027732</v>
      </c>
      <c r="K30" s="11" t="str">
        <f t="shared" si="16"/>
        <v/>
      </c>
      <c r="L30" s="10">
        <f t="shared" si="4"/>
        <v>3.2</v>
      </c>
      <c r="M30" s="10">
        <f t="shared" si="5"/>
        <v>0</v>
      </c>
      <c r="N30" s="10">
        <f t="shared" si="17"/>
        <v>9.7002646009467011</v>
      </c>
      <c r="O30" s="10">
        <f t="shared" si="6"/>
        <v>5.2143702123652167</v>
      </c>
      <c r="P30" s="10">
        <f t="shared" si="18"/>
        <v>2.532984282901265</v>
      </c>
      <c r="Q30" s="11">
        <f t="shared" si="7"/>
        <v>22</v>
      </c>
      <c r="R30" s="11"/>
      <c r="S30" s="10">
        <f t="shared" si="19"/>
        <v>-2.4756842292738703</v>
      </c>
      <c r="T30" s="10">
        <f t="shared" si="8"/>
        <v>-1.3058751863895317</v>
      </c>
      <c r="U30" s="10">
        <f t="shared" si="9"/>
        <v>-32.204120285511635</v>
      </c>
      <c r="V30" s="11" t="str">
        <f>IF(AND(U29&lt;0,U30&gt;0),#REF!,"")</f>
        <v/>
      </c>
    </row>
    <row r="31" spans="1:22" x14ac:dyDescent="0.25">
      <c r="A31" s="11">
        <f t="shared" si="10"/>
        <v>23</v>
      </c>
      <c r="B31" s="10">
        <f t="shared" si="11"/>
        <v>12.419467806824983</v>
      </c>
      <c r="C31" s="10">
        <f t="shared" si="12"/>
        <v>9.8942698929656352</v>
      </c>
      <c r="D31" s="10">
        <f t="shared" si="0"/>
        <v>0</v>
      </c>
      <c r="E31" s="10">
        <f t="shared" si="1"/>
        <v>0</v>
      </c>
      <c r="F31" s="10">
        <f t="shared" si="2"/>
        <v>0</v>
      </c>
      <c r="G31" s="10">
        <f t="shared" si="13"/>
        <v>12.419467806824983</v>
      </c>
      <c r="H31" s="10">
        <f t="shared" si="14"/>
        <v>144.44302892606265</v>
      </c>
      <c r="I31" s="10">
        <f t="shared" si="3"/>
        <v>6.4816271133346497</v>
      </c>
      <c r="J31" s="10">
        <f t="shared" si="15"/>
        <v>41.512628581362378</v>
      </c>
      <c r="K31" s="11" t="str">
        <f t="shared" si="16"/>
        <v/>
      </c>
      <c r="L31" s="10">
        <f t="shared" si="4"/>
        <v>3.2</v>
      </c>
      <c r="M31" s="10">
        <f t="shared" si="5"/>
        <v>0</v>
      </c>
      <c r="N31" s="10">
        <f t="shared" si="17"/>
        <v>9.8942698929656352</v>
      </c>
      <c r="O31" s="10">
        <f t="shared" si="6"/>
        <v>5.1637452588471069</v>
      </c>
      <c r="P31" s="10">
        <f t="shared" si="18"/>
        <v>7.6967295417483719</v>
      </c>
      <c r="Q31" s="11" t="str">
        <f t="shared" si="7"/>
        <v/>
      </c>
      <c r="R31" s="11"/>
      <c r="S31" s="10">
        <f t="shared" si="19"/>
        <v>-2.5251979138593477</v>
      </c>
      <c r="T31" s="10">
        <f t="shared" si="8"/>
        <v>-1.2920329094138028</v>
      </c>
      <c r="U31" s="10">
        <f t="shared" si="9"/>
        <v>-33.496153194925441</v>
      </c>
      <c r="V31" s="11" t="str">
        <f>IF(AND(U30&lt;0,U31&gt;0),#REF!,"")</f>
        <v/>
      </c>
    </row>
    <row r="32" spans="1:22" x14ac:dyDescent="0.25">
      <c r="A32" s="11">
        <f t="shared" si="10"/>
        <v>24</v>
      </c>
      <c r="B32" s="10">
        <f t="shared" si="11"/>
        <v>12.667857162961482</v>
      </c>
      <c r="C32" s="10">
        <f t="shared" si="12"/>
        <v>10.092155290824948</v>
      </c>
      <c r="D32" s="10">
        <f t="shared" si="0"/>
        <v>0</v>
      </c>
      <c r="E32" s="10">
        <f t="shared" si="1"/>
        <v>0</v>
      </c>
      <c r="F32" s="10">
        <f t="shared" si="2"/>
        <v>0</v>
      </c>
      <c r="G32" s="10">
        <f t="shared" si="13"/>
        <v>12.667857162961482</v>
      </c>
      <c r="H32" s="10">
        <f t="shared" si="14"/>
        <v>157.11088608902412</v>
      </c>
      <c r="I32" s="10">
        <f t="shared" si="3"/>
        <v>6.4186986947585849</v>
      </c>
      <c r="J32" s="10">
        <f t="shared" si="15"/>
        <v>47.93132727612096</v>
      </c>
      <c r="K32" s="11" t="str">
        <f t="shared" si="16"/>
        <v/>
      </c>
      <c r="L32" s="10">
        <f t="shared" si="4"/>
        <v>3.2</v>
      </c>
      <c r="M32" s="10">
        <f t="shared" si="5"/>
        <v>0</v>
      </c>
      <c r="N32" s="10">
        <f t="shared" si="17"/>
        <v>10.092155290824948</v>
      </c>
      <c r="O32" s="10">
        <f t="shared" si="6"/>
        <v>5.1136118097320864</v>
      </c>
      <c r="P32" s="10">
        <f t="shared" si="18"/>
        <v>12.810341351480458</v>
      </c>
      <c r="Q32" s="11" t="str">
        <f t="shared" si="7"/>
        <v/>
      </c>
      <c r="R32" s="11"/>
      <c r="S32" s="10">
        <f t="shared" si="19"/>
        <v>-2.5757018721365341</v>
      </c>
      <c r="T32" s="10">
        <f t="shared" si="8"/>
        <v>-1.278337360574016</v>
      </c>
      <c r="U32" s="10">
        <f t="shared" si="9"/>
        <v>-34.774490555499455</v>
      </c>
      <c r="V32" s="11" t="str">
        <f>IF(AND(U31&lt;0,U32&gt;0),#REF!,"")</f>
        <v/>
      </c>
    </row>
    <row r="33" spans="1:22" x14ac:dyDescent="0.25">
      <c r="A33" s="11">
        <f t="shared" si="10"/>
        <v>25</v>
      </c>
      <c r="B33" s="10">
        <f t="shared" si="11"/>
        <v>12.921214306220712</v>
      </c>
      <c r="C33" s="10">
        <f t="shared" si="12"/>
        <v>10.293998396641447</v>
      </c>
      <c r="D33" s="10">
        <f t="shared" si="0"/>
        <v>0</v>
      </c>
      <c r="E33" s="10">
        <f t="shared" si="1"/>
        <v>0</v>
      </c>
      <c r="F33" s="10">
        <f t="shared" si="2"/>
        <v>0</v>
      </c>
      <c r="G33" s="10">
        <f t="shared" si="13"/>
        <v>12.921214306220712</v>
      </c>
      <c r="H33" s="10">
        <f t="shared" si="14"/>
        <v>170.03210039524484</v>
      </c>
      <c r="I33" s="10">
        <f t="shared" si="3"/>
        <v>6.3563812317026773</v>
      </c>
      <c r="J33" s="10">
        <f t="shared" si="15"/>
        <v>54.287708507823638</v>
      </c>
      <c r="K33" s="11" t="str">
        <f t="shared" si="16"/>
        <v/>
      </c>
      <c r="L33" s="10">
        <f t="shared" si="4"/>
        <v>3.2</v>
      </c>
      <c r="M33" s="10">
        <f t="shared" si="5"/>
        <v>0</v>
      </c>
      <c r="N33" s="10">
        <f t="shared" si="17"/>
        <v>10.293998396641447</v>
      </c>
      <c r="O33" s="10">
        <f t="shared" si="6"/>
        <v>5.0639650931327465</v>
      </c>
      <c r="P33" s="10">
        <f t="shared" si="18"/>
        <v>17.874306444613204</v>
      </c>
      <c r="Q33" s="11" t="str">
        <f t="shared" si="7"/>
        <v/>
      </c>
      <c r="R33" s="11"/>
      <c r="S33" s="10">
        <f t="shared" si="19"/>
        <v>-2.6272159095792649</v>
      </c>
      <c r="T33" s="10">
        <f t="shared" si="8"/>
        <v>-1.2647869845519315</v>
      </c>
      <c r="U33" s="10">
        <f t="shared" si="9"/>
        <v>-36.039277540051387</v>
      </c>
      <c r="V33" s="11" t="str">
        <f>IF(AND(U32&lt;0,U33&gt;0),#REF!,"")</f>
        <v/>
      </c>
    </row>
    <row r="34" spans="1:22" x14ac:dyDescent="0.25">
      <c r="A34" s="11">
        <f t="shared" si="10"/>
        <v>26</v>
      </c>
      <c r="B34" s="10">
        <f t="shared" si="11"/>
        <v>13.179638592345126</v>
      </c>
      <c r="C34" s="10">
        <f t="shared" si="12"/>
        <v>10.499878364574275</v>
      </c>
      <c r="D34" s="10">
        <f t="shared" si="0"/>
        <v>0</v>
      </c>
      <c r="E34" s="10">
        <f t="shared" si="1"/>
        <v>0</v>
      </c>
      <c r="F34" s="10">
        <f t="shared" si="2"/>
        <v>0</v>
      </c>
      <c r="G34" s="10">
        <f t="shared" si="13"/>
        <v>13.179638592345126</v>
      </c>
      <c r="H34" s="10">
        <f t="shared" si="14"/>
        <v>183.21173898758997</v>
      </c>
      <c r="I34" s="10">
        <f t="shared" si="3"/>
        <v>6.2946687925599329</v>
      </c>
      <c r="J34" s="10">
        <f t="shared" si="15"/>
        <v>60.58237730038357</v>
      </c>
      <c r="K34" s="11" t="str">
        <f t="shared" si="16"/>
        <v/>
      </c>
      <c r="L34" s="10">
        <f t="shared" si="4"/>
        <v>0</v>
      </c>
      <c r="M34" s="10">
        <f t="shared" si="5"/>
        <v>0</v>
      </c>
      <c r="N34" s="10">
        <f t="shared" si="17"/>
        <v>10.499878364574275</v>
      </c>
      <c r="O34" s="10">
        <f t="shared" si="6"/>
        <v>5.0148003834906811</v>
      </c>
      <c r="P34" s="10">
        <f t="shared" si="18"/>
        <v>22.889106828103884</v>
      </c>
      <c r="Q34" s="11" t="str">
        <f t="shared" si="7"/>
        <v/>
      </c>
      <c r="R34" s="11"/>
      <c r="S34" s="10">
        <f t="shared" si="19"/>
        <v>-2.679760227770851</v>
      </c>
      <c r="T34" s="10">
        <f t="shared" si="8"/>
        <v>-1.2513802425156813</v>
      </c>
      <c r="U34" s="10">
        <f>U33+T34</f>
        <v>-37.290657782567067</v>
      </c>
      <c r="V34" s="11" t="str">
        <f>IF(AND(U33&lt;0,U34&gt;0),#REF!,"")</f>
        <v/>
      </c>
    </row>
    <row r="35" spans="1:22" x14ac:dyDescent="0.25">
      <c r="A35" s="11">
        <f t="shared" si="10"/>
        <v>27</v>
      </c>
      <c r="B35" s="10">
        <f t="shared" si="11"/>
        <v>13.443231364192028</v>
      </c>
      <c r="C35" s="10">
        <f t="shared" si="12"/>
        <v>10.709875931865762</v>
      </c>
      <c r="D35" s="10">
        <f t="shared" si="0"/>
        <v>0</v>
      </c>
      <c r="E35" s="10">
        <f t="shared" si="1"/>
        <v>0</v>
      </c>
      <c r="F35" s="10">
        <f t="shared" si="2"/>
        <v>0</v>
      </c>
      <c r="G35" s="10">
        <f t="shared" si="13"/>
        <v>13.443231364192028</v>
      </c>
      <c r="H35" s="10">
        <f t="shared" si="14"/>
        <v>196.654970351782</v>
      </c>
      <c r="I35" s="10">
        <f t="shared" si="3"/>
        <v>6.2335555033117771</v>
      </c>
      <c r="J35" s="10">
        <f t="shared" si="15"/>
        <v>66.815932803695347</v>
      </c>
      <c r="K35" s="11" t="str">
        <f t="shared" si="16"/>
        <v/>
      </c>
      <c r="L35" s="10">
        <f t="shared" si="4"/>
        <v>0</v>
      </c>
      <c r="M35" s="10">
        <f t="shared" si="5"/>
        <v>0</v>
      </c>
      <c r="N35" s="10">
        <f t="shared" si="17"/>
        <v>10.709875931865762</v>
      </c>
      <c r="O35" s="10">
        <f t="shared" si="6"/>
        <v>4.9661130011266934</v>
      </c>
      <c r="P35" s="10">
        <f t="shared" si="18"/>
        <v>27.855219829230577</v>
      </c>
      <c r="Q35" s="11" t="str">
        <f t="shared" si="7"/>
        <v/>
      </c>
      <c r="R35" s="11"/>
      <c r="S35" s="10">
        <f t="shared" si="19"/>
        <v>-2.7333554323262668</v>
      </c>
      <c r="T35" s="10">
        <f t="shared" si="8"/>
        <v>-1.2381156119450147</v>
      </c>
      <c r="U35" s="10">
        <f>U34+T35</f>
        <v>-38.528773394512079</v>
      </c>
      <c r="V35" s="11" t="str">
        <f>IF(AND(U34&lt;0,U35&gt;0),#REF!,"")</f>
        <v/>
      </c>
    </row>
    <row r="36" spans="1:22" x14ac:dyDescent="0.25">
      <c r="A36" s="11">
        <f t="shared" si="10"/>
        <v>28</v>
      </c>
      <c r="B36" s="10">
        <f t="shared" si="11"/>
        <v>13.71209599147587</v>
      </c>
      <c r="C36" s="10">
        <f t="shared" si="12"/>
        <v>10.924073450503077</v>
      </c>
      <c r="D36" s="10">
        <f t="shared" si="0"/>
        <v>0</v>
      </c>
      <c r="E36" s="10">
        <f t="shared" si="1"/>
        <v>0</v>
      </c>
      <c r="F36" s="10">
        <f t="shared" si="2"/>
        <v>0</v>
      </c>
      <c r="G36" s="10">
        <f t="shared" si="13"/>
        <v>13.71209599147587</v>
      </c>
      <c r="H36" s="10">
        <f t="shared" si="14"/>
        <v>210.36706634325787</v>
      </c>
      <c r="I36" s="10">
        <f t="shared" si="3"/>
        <v>6.1730355469689453</v>
      </c>
      <c r="J36" s="10">
        <f t="shared" si="15"/>
        <v>72.988968350664294</v>
      </c>
      <c r="K36" s="11" t="str">
        <f t="shared" si="16"/>
        <v/>
      </c>
      <c r="L36" s="10">
        <f t="shared" si="4"/>
        <v>0</v>
      </c>
      <c r="M36" s="10">
        <f t="shared" si="5"/>
        <v>0</v>
      </c>
      <c r="N36" s="10">
        <f t="shared" si="17"/>
        <v>10.924073450503077</v>
      </c>
      <c r="O36" s="10">
        <f t="shared" si="6"/>
        <v>4.9178983117953665</v>
      </c>
      <c r="P36" s="10">
        <f t="shared" si="18"/>
        <v>32.773118141025947</v>
      </c>
      <c r="Q36" s="11" t="str">
        <f t="shared" si="7"/>
        <v/>
      </c>
      <c r="R36" s="11"/>
      <c r="S36" s="10">
        <f t="shared" si="19"/>
        <v>-2.7880225409727935</v>
      </c>
      <c r="T36" s="10">
        <f t="shared" si="8"/>
        <v>-1.224991586458398</v>
      </c>
      <c r="U36" s="10">
        <f>U35+T36</f>
        <v>-39.75376498097048</v>
      </c>
      <c r="V36" s="11" t="str">
        <f>IF(AND(U35&lt;0,U36&gt;0),#REF!,"")</f>
        <v/>
      </c>
    </row>
    <row r="37" spans="1:22" x14ac:dyDescent="0.25">
      <c r="A37" s="11">
        <f t="shared" si="10"/>
        <v>29</v>
      </c>
      <c r="B37" s="10">
        <f t="shared" si="11"/>
        <v>13.986337911305387</v>
      </c>
      <c r="C37" s="10">
        <f t="shared" si="12"/>
        <v>11.142554919513138</v>
      </c>
      <c r="D37" s="10">
        <f t="shared" si="0"/>
        <v>0</v>
      </c>
      <c r="E37" s="10">
        <f t="shared" si="1"/>
        <v>0</v>
      </c>
      <c r="F37" s="10">
        <f t="shared" si="2"/>
        <v>0</v>
      </c>
      <c r="G37" s="10">
        <f t="shared" si="13"/>
        <v>13.986337911305387</v>
      </c>
      <c r="H37" s="10">
        <f t="shared" si="14"/>
        <v>224.35340425456326</v>
      </c>
      <c r="I37" s="10">
        <f t="shared" si="3"/>
        <v>6.113103163017791</v>
      </c>
      <c r="J37" s="10">
        <f t="shared" si="15"/>
        <v>79.102071513682091</v>
      </c>
      <c r="K37" s="11" t="str">
        <f t="shared" si="16"/>
        <v/>
      </c>
      <c r="L37" s="10">
        <f t="shared" si="4"/>
        <v>0</v>
      </c>
      <c r="M37" s="10">
        <f t="shared" si="5"/>
        <v>0</v>
      </c>
      <c r="N37" s="10">
        <f t="shared" si="17"/>
        <v>11.142554919513138</v>
      </c>
      <c r="O37" s="10">
        <f t="shared" si="6"/>
        <v>4.8701517262439555</v>
      </c>
      <c r="P37" s="10">
        <f t="shared" si="18"/>
        <v>37.6432698672699</v>
      </c>
      <c r="Q37" s="11" t="str">
        <f t="shared" si="7"/>
        <v/>
      </c>
      <c r="R37" s="11"/>
      <c r="S37" s="10">
        <f t="shared" si="19"/>
        <v>-2.8437829917922492</v>
      </c>
      <c r="T37" s="10">
        <f t="shared" si="8"/>
        <v>-1.212006675641939</v>
      </c>
      <c r="U37" s="10">
        <f>U36+T37</f>
        <v>-40.965771656612418</v>
      </c>
      <c r="V37" s="11" t="str">
        <f>IF(AND(U36&lt;0,U37&gt;0),#REF!,"")</f>
        <v/>
      </c>
    </row>
    <row r="38" spans="1:22" x14ac:dyDescent="0.25">
      <c r="A38" s="11">
        <f t="shared" si="10"/>
        <v>30</v>
      </c>
      <c r="B38" s="10">
        <f t="shared" si="11"/>
        <v>14.266064669531495</v>
      </c>
      <c r="C38" s="10">
        <f t="shared" si="12"/>
        <v>11.365406017903402</v>
      </c>
      <c r="D38" s="10">
        <f t="shared" si="0"/>
        <v>0</v>
      </c>
      <c r="E38" s="10">
        <f t="shared" si="1"/>
        <v>0</v>
      </c>
      <c r="F38" s="10">
        <f t="shared" si="2"/>
        <v>0</v>
      </c>
      <c r="G38" s="10">
        <f t="shared" si="13"/>
        <v>14.266064669531495</v>
      </c>
      <c r="H38" s="10">
        <f t="shared" si="14"/>
        <v>238.61946892409475</v>
      </c>
      <c r="I38" s="10">
        <f t="shared" si="3"/>
        <v>6.0537526468719873</v>
      </c>
      <c r="J38" s="10">
        <f t="shared" si="15"/>
        <v>85.155824160554076</v>
      </c>
      <c r="K38" s="11" t="str">
        <f t="shared" si="16"/>
        <v/>
      </c>
      <c r="L38" s="10">
        <f t="shared" si="4"/>
        <v>0</v>
      </c>
      <c r="M38" s="10">
        <f t="shared" si="5"/>
        <v>0</v>
      </c>
      <c r="N38" s="10">
        <f t="shared" si="17"/>
        <v>11.365406017903402</v>
      </c>
      <c r="O38" s="10">
        <f t="shared" si="6"/>
        <v>4.8228686997755679</v>
      </c>
      <c r="P38" s="10">
        <f t="shared" si="18"/>
        <v>42.466138567045469</v>
      </c>
      <c r="Q38" s="11" t="str">
        <f t="shared" si="7"/>
        <v/>
      </c>
      <c r="R38" s="11"/>
      <c r="S38" s="10">
        <f t="shared" si="19"/>
        <v>-2.9006586516280937</v>
      </c>
      <c r="T38" s="10">
        <f t="shared" si="8"/>
        <v>-1.1991594048801342</v>
      </c>
      <c r="U38" s="10">
        <f>U37+T38</f>
        <v>-42.164931061492553</v>
      </c>
      <c r="V38" s="11" t="str">
        <f>IF(AND(U37&lt;0,U38&gt;0),#REF!,"")</f>
        <v/>
      </c>
    </row>
    <row r="39" spans="1:22" x14ac:dyDescent="0.25">
      <c r="A39" s="11"/>
      <c r="B39" s="10"/>
      <c r="C39" s="10"/>
      <c r="D39" s="10"/>
      <c r="E39" s="10"/>
      <c r="F39" s="10"/>
      <c r="G39" s="10"/>
      <c r="I39" s="69">
        <f>SUM(I8:I38)</f>
        <v>135.15582416055406</v>
      </c>
      <c r="J39" s="10"/>
      <c r="K39" s="11"/>
      <c r="L39" s="10"/>
      <c r="M39" s="10"/>
      <c r="N39" s="10">
        <f>SUM(N8:N38)</f>
        <v>122.35570691307326</v>
      </c>
      <c r="O39" s="10"/>
      <c r="P39" s="10"/>
      <c r="Q39" s="11"/>
      <c r="R39" s="11"/>
    </row>
    <row r="40" spans="1:22" x14ac:dyDescent="0.25">
      <c r="A40" s="11"/>
      <c r="B40" s="10"/>
      <c r="C40" s="10"/>
      <c r="D40" s="10"/>
      <c r="E40" s="10"/>
      <c r="F40" s="10"/>
      <c r="G40" s="10"/>
      <c r="I40" s="69"/>
      <c r="J40" s="10"/>
      <c r="K40" s="11"/>
      <c r="L40" s="10"/>
      <c r="M40" s="10"/>
      <c r="N40" s="10"/>
      <c r="O40" s="10"/>
      <c r="P40" s="10"/>
      <c r="Q40" s="11"/>
      <c r="R40" s="11"/>
    </row>
    <row r="41" spans="1:22" x14ac:dyDescent="0.25">
      <c r="A41" s="10"/>
      <c r="G41" s="16">
        <f>IRR(G8:G28,0)</f>
        <v>5.4758231785331013E-2</v>
      </c>
      <c r="J41" s="18">
        <f>J28</f>
        <v>21.876488156026468</v>
      </c>
      <c r="K41" s="17">
        <f>SUM(K8:K38)</f>
        <v>17</v>
      </c>
      <c r="M41" s="16"/>
      <c r="N41" s="16">
        <f>IRR(N8:N28,0.2)</f>
        <v>1.8052282198408598E-2</v>
      </c>
      <c r="O41" s="15"/>
      <c r="P41" s="18">
        <f>P28</f>
        <v>-7.9468774184209829</v>
      </c>
      <c r="Q41" s="17">
        <f>SUM(Q8:Q38)</f>
        <v>22</v>
      </c>
      <c r="R41" s="17"/>
      <c r="S41" s="16"/>
      <c r="T41" s="15"/>
      <c r="U41" s="18"/>
      <c r="V41" s="17"/>
    </row>
    <row r="42" spans="1:22" x14ac:dyDescent="0.25">
      <c r="A42" s="10"/>
      <c r="G42" s="16">
        <f>IRR(G8:G33,0)</f>
        <v>7.585449647606457E-2</v>
      </c>
      <c r="I42" s="15"/>
      <c r="J42" s="18">
        <f>J33</f>
        <v>54.287708507823638</v>
      </c>
      <c r="M42" s="16"/>
      <c r="N42" s="16">
        <f>IRR(N8:N33,0)</f>
        <v>4.4736712362837716E-2</v>
      </c>
      <c r="O42" s="15"/>
      <c r="P42" s="18">
        <f>P33</f>
        <v>17.874306444613204</v>
      </c>
      <c r="Q42" s="11">
        <f>IF(AND(P41&lt;0,P42&gt;0),A42,"")</f>
        <v>0</v>
      </c>
      <c r="R42" s="11"/>
      <c r="S42" s="16"/>
      <c r="T42" s="15"/>
      <c r="U42" s="18"/>
      <c r="V42" s="13"/>
    </row>
    <row r="43" spans="1:22" x14ac:dyDescent="0.25">
      <c r="A43" s="10"/>
      <c r="G43" s="16">
        <f>IRR(G8:G38,0)</f>
        <v>8.6339255416018057E-2</v>
      </c>
      <c r="J43" s="18">
        <f>J38</f>
        <v>85.155824160554076</v>
      </c>
      <c r="M43" s="16"/>
      <c r="N43" s="16">
        <f>IRR(N8:N38,0)</f>
        <v>5.8475702483046232E-2</v>
      </c>
      <c r="O43" s="14"/>
      <c r="P43" s="18">
        <f>P38</f>
        <v>42.466138567045469</v>
      </c>
      <c r="Q43" s="11" t="str">
        <f>IF(AND(P42&lt;0,P43&gt;0),A43,"")</f>
        <v/>
      </c>
      <c r="R43" s="11"/>
      <c r="S43" s="16"/>
      <c r="T43" s="14"/>
      <c r="U43" s="18"/>
      <c r="V43" s="13"/>
    </row>
    <row r="44" spans="1:22" x14ac:dyDescent="0.25">
      <c r="A44" s="10"/>
    </row>
    <row r="45" spans="1:22" x14ac:dyDescent="0.25">
      <c r="A45" s="10"/>
    </row>
    <row r="46" spans="1:22" x14ac:dyDescent="0.25">
      <c r="A46" s="10"/>
    </row>
    <row r="47" spans="1:22" x14ac:dyDescent="0.25">
      <c r="A47" s="10"/>
    </row>
    <row r="48" spans="1:22" x14ac:dyDescent="0.25">
      <c r="A48" s="10"/>
    </row>
    <row r="49" spans="1:12" x14ac:dyDescent="0.25">
      <c r="A49" s="10"/>
    </row>
    <row r="50" spans="1:12" x14ac:dyDescent="0.25">
      <c r="A50" s="10"/>
    </row>
    <row r="51" spans="1:12" x14ac:dyDescent="0.25">
      <c r="A51" s="10"/>
    </row>
    <row r="52" spans="1:12" x14ac:dyDescent="0.25">
      <c r="A52" s="10"/>
    </row>
    <row r="53" spans="1:12" x14ac:dyDescent="0.25">
      <c r="A53" s="10"/>
    </row>
    <row r="54" spans="1:12" x14ac:dyDescent="0.25">
      <c r="A54" s="10"/>
    </row>
    <row r="55" spans="1:12" x14ac:dyDescent="0.25">
      <c r="A55" s="10"/>
    </row>
    <row r="56" spans="1:12" x14ac:dyDescent="0.25">
      <c r="A56" s="10"/>
    </row>
    <row r="57" spans="1:12" x14ac:dyDescent="0.25">
      <c r="A57" s="10"/>
    </row>
    <row r="58" spans="1:12" x14ac:dyDescent="0.25">
      <c r="A58" s="10"/>
    </row>
    <row r="59" spans="1:12" x14ac:dyDescent="0.25">
      <c r="A59" s="10"/>
    </row>
    <row r="60" spans="1:12" x14ac:dyDescent="0.25">
      <c r="A60" s="10"/>
      <c r="B60" s="10"/>
      <c r="C60" s="10"/>
      <c r="L60" s="10"/>
    </row>
  </sheetData>
  <sheetProtection sheet="1"/>
  <phoneticPr fontId="0" type="noConversion"/>
  <printOptions horizontalCentered="1" gridLines="1"/>
  <pageMargins left="0.39370078740157483" right="0.39370078740157483" top="0.98425196850393704" bottom="0.98425196850393704" header="0.51181102362204722" footer="0.51181102362204722"/>
  <pageSetup paperSize="9" orientation="portrait" r:id="rId1"/>
  <headerFooter alignWithMargins="0">
    <oddHeader>&amp;F</oddHeader>
    <oddFoote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3</vt:i4>
      </vt:variant>
      <vt:variant>
        <vt:lpstr>Diagramme</vt:lpstr>
      </vt:variant>
      <vt:variant>
        <vt:i4>4</vt:i4>
      </vt:variant>
      <vt:variant>
        <vt:lpstr>Benannte Bereiche</vt:lpstr>
      </vt:variant>
      <vt:variant>
        <vt:i4>28</vt:i4>
      </vt:variant>
    </vt:vector>
  </HeadingPairs>
  <TitlesOfParts>
    <vt:vector size="35" baseType="lpstr">
      <vt:lpstr>Info</vt:lpstr>
      <vt:lpstr>Parameter</vt:lpstr>
      <vt:lpstr>Berechnung</vt:lpstr>
      <vt:lpstr>Ergebnis (Einsparungen)</vt:lpstr>
      <vt:lpstr>Kapitalwert (Einsp.)</vt:lpstr>
      <vt:lpstr>Ergebnis (Umlage)</vt:lpstr>
      <vt:lpstr>Kapitalwert (Umlage)</vt:lpstr>
      <vt:lpstr>Bereitstellung</vt:lpstr>
      <vt:lpstr>Dämmstärke</vt:lpstr>
      <vt:lpstr>Darlehen</vt:lpstr>
      <vt:lpstr>Diskontsatz</vt:lpstr>
      <vt:lpstr>Emissionsfaktor</vt:lpstr>
      <vt:lpstr>Energieeinsparung</vt:lpstr>
      <vt:lpstr>Energiekosten</vt:lpstr>
      <vt:lpstr>Energiekostensteigerung</vt:lpstr>
      <vt:lpstr>Gradtagszahl</vt:lpstr>
      <vt:lpstr>Gradtagszahl_nach</vt:lpstr>
      <vt:lpstr>Gradtagszahl_vor</vt:lpstr>
      <vt:lpstr>Inflation</vt:lpstr>
      <vt:lpstr>Instandhaltung</vt:lpstr>
      <vt:lpstr>Kosten</vt:lpstr>
      <vt:lpstr>Lambdawert</vt:lpstr>
      <vt:lpstr>Laufzeit</vt:lpstr>
      <vt:lpstr>Prozent_Umlage</vt:lpstr>
      <vt:lpstr>Steuersatz</vt:lpstr>
      <vt:lpstr>Tilgungsfrei</vt:lpstr>
      <vt:lpstr>UWert_alt</vt:lpstr>
      <vt:lpstr>UWert_Mauer</vt:lpstr>
      <vt:lpstr>UWert_nach</vt:lpstr>
      <vt:lpstr>UWert_vor</vt:lpstr>
      <vt:lpstr>Wirkungsgrad</vt:lpstr>
      <vt:lpstr>Zeitraum</vt:lpstr>
      <vt:lpstr>Zinsbindung</vt:lpstr>
      <vt:lpstr>Zinssatz</vt:lpstr>
      <vt:lpstr>Zinssatz_nach_Zinsbindung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 Körblein</dc:creator>
  <cp:lastModifiedBy>Hauke Doerk</cp:lastModifiedBy>
  <cp:lastPrinted>2015-04-15T09:17:48Z</cp:lastPrinted>
  <dcterms:created xsi:type="dcterms:W3CDTF">1999-10-30T15:36:17Z</dcterms:created>
  <dcterms:modified xsi:type="dcterms:W3CDTF">2025-01-02T12:08:11Z</dcterms:modified>
</cp:coreProperties>
</file>