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DieseArbeitsmappe"/>
  <mc:AlternateContent xmlns:mc="http://schemas.openxmlformats.org/markup-compatibility/2006">
    <mc:Choice Requires="x15">
      <x15ac:absPath xmlns:x15ac="http://schemas.microsoft.com/office/spreadsheetml/2010/11/ac" url="D:\Kampagnen\Solarkampagne\Wirtschaftlichkeitstabellen\"/>
    </mc:Choice>
  </mc:AlternateContent>
  <bookViews>
    <workbookView xWindow="0" yWindow="0" windowWidth="28800" windowHeight="13476" tabRatio="743" activeTab="1"/>
  </bookViews>
  <sheets>
    <sheet name="Info" sheetId="1" r:id="rId1"/>
    <sheet name="Parameter" sheetId="2" r:id="rId2"/>
    <sheet name="Berechnung" sheetId="4" r:id="rId3"/>
    <sheet name="Kapitalwert" sheetId="5" r:id="rId4"/>
    <sheet name="Solarertrag" sheetId="7" r:id="rId5"/>
    <sheet name="Vergütung" sheetId="8" r:id="rId6"/>
  </sheets>
  <definedNames>
    <definedName name="Anlagenleistung">Parameter!$B$18</definedName>
    <definedName name="Anlagenpreis">Parameter!$B$36</definedName>
    <definedName name="AnlagenpreisPV">Parameter!$B$19</definedName>
    <definedName name="Auszahlung1">Parameter!$B$41</definedName>
    <definedName name="BatteriespeicherJN">Parameter!$B$20</definedName>
    <definedName name="BatterieVerluste">Parameter!$B$30</definedName>
    <definedName name="Bereitstellung1">Parameter!$B$42</definedName>
    <definedName name="Dachmiete">Parameter!$B$24</definedName>
    <definedName name="Direktnutzung">Parameter!$B$28</definedName>
    <definedName name="Direktnutzung_Batteriespeicher">Parameter!$B$29</definedName>
    <definedName name="Direktnutzung_Speicher">Parameter!$B$29</definedName>
    <definedName name="Direktvermarktung">Parameter!$B$51</definedName>
    <definedName name="_xlnm.Print_Area" localSheetId="2">Berechnung!$A$5:$O$28</definedName>
    <definedName name="_xlnm.Print_Area" localSheetId="1">Parameter!$A$1:$G$62</definedName>
    <definedName name="EEG_Umlage_Anteil">Parameter!#REF!</definedName>
    <definedName name="EEG_Vergütung">Parameter!$B$37</definedName>
    <definedName name="eegSatz2013">Vergütung!#REF!</definedName>
    <definedName name="eegSatz2014">Vergütung!#REF!</definedName>
    <definedName name="eegSatz2015">Vergütung!#REF!</definedName>
    <definedName name="EEGSatz2016">Vergütung!#REF!</definedName>
    <definedName name="eegSatz2017">Vergütung!#REF!</definedName>
    <definedName name="eegSatz2018">Vergütung!#REF!</definedName>
    <definedName name="EEGSatz2019">Vergütung!#REF!</definedName>
    <definedName name="eegSatz2020">Vergütung!#REF!</definedName>
    <definedName name="eegUmlage">Parameter!#REF!</definedName>
    <definedName name="eegUmlageAnteil">Parameter!#REF!</definedName>
    <definedName name="EigenkapitalZuAnfang">Parameter!#REF!</definedName>
    <definedName name="Eigennutzung">Parameter!$B$28</definedName>
    <definedName name="Eigennutzung_brutto">Berechnung!$F$2</definedName>
    <definedName name="Eigennutzung_netto">Berechnung!$F$3</definedName>
    <definedName name="EigennutzungSpeicher">Parameter!$B$29</definedName>
    <definedName name="Einspeisetarif">Parameter!#REF!</definedName>
    <definedName name="Ersatzbatterie">Parameter!$B$32</definedName>
    <definedName name="Ertragsminderung">Parameter!$B$26</definedName>
    <definedName name="Gewerbe">Parameter!$B$62</definedName>
    <definedName name="Grundgebühr">Parameter!#REF!</definedName>
    <definedName name="IBNJahr">Parameter!$B$33</definedName>
    <definedName name="IBNMonat">Parameter!$B$34</definedName>
    <definedName name="Inflationsrate">Parameter!$B$52</definedName>
    <definedName name="InternerZinsfussQ">Berechnung!#REF!</definedName>
    <definedName name="Investitionsabzug">Parameter!#REF!</definedName>
    <definedName name="Jahre">Parameter!#REF!</definedName>
    <definedName name="Kapitalwert">Parameter!$B$15</definedName>
    <definedName name="Kleinunternehmer">Parameter!#REF!</definedName>
    <definedName name="Kredit1">Parameter!$B$40</definedName>
    <definedName name="Kredit2">Parameter!#REF!</definedName>
    <definedName name="KU_Umstellung">Parameter!#REF!</definedName>
    <definedName name="KUR">Parameter!#REF!</definedName>
    <definedName name="kWp">Parameter!$B$18</definedName>
    <definedName name="Ladeverluste">Parameter!$B$30</definedName>
    <definedName name="Laufzeit1">Parameter!$B$44</definedName>
    <definedName name="Laufzeit2">Parameter!#REF!</definedName>
    <definedName name="Leistung">Parameter!$B$18</definedName>
    <definedName name="LfdKosten">Parameter!$B$23</definedName>
    <definedName name="MwSt">Parameter!$B$62</definedName>
    <definedName name="MwSt_Satz">Parameter!#REF!</definedName>
    <definedName name="ProgVersion">Parameter!$A$2</definedName>
    <definedName name="Solarertrag1">Parameter!$D$34</definedName>
    <definedName name="Sonderabschreibung">Parameter!#REF!</definedName>
    <definedName name="Speicherdegradation">Parameter!$B$31</definedName>
    <definedName name="Steuerbefreiung">Parameter!$B$50</definedName>
    <definedName name="Steuersatz1">Parameter!#REF!</definedName>
    <definedName name="Steuersatz2">Parameter!#REF!</definedName>
    <definedName name="StromerlösDirektvermarktung">Parameter!$B$57</definedName>
    <definedName name="Stromertrag">Parameter!$B$25</definedName>
    <definedName name="StrompreisNetto">Parameter!$B$55</definedName>
    <definedName name="Strompreissteigerung">Parameter!$B$56</definedName>
    <definedName name="Stromverbrauch">Parameter!#REF!</definedName>
    <definedName name="Tilgungsfrei1">Parameter!$B$46</definedName>
    <definedName name="Tilgungsfrei2">Parameter!#REF!</definedName>
    <definedName name="Umstellung_KUR">Parameter!#REF!</definedName>
    <definedName name="Vergütung2018">Vergütung!#REF!</definedName>
    <definedName name="Volleinspeisung">Parameter!$B$27</definedName>
    <definedName name="Vorlaufkosten">Parameter!$B$22</definedName>
    <definedName name="Zinsbindung1">Parameter!$B$45</definedName>
    <definedName name="Zinssatz1">Parameter!$B$43</definedName>
    <definedName name="Zinssatz1NachZinsbindung">Parameter!$B$47</definedName>
    <definedName name="Zinssatz2">Parameter!#REF!</definedName>
    <definedName name="ZinssatzBarwert">Parameter!$B$53</definedName>
    <definedName name="ZinssatzWiederanlage">Parameter!#REF!</definedName>
    <definedName name="ZusatzkostenBatterie">Parameter!$B$21</definedName>
    <definedName name="Zuschuss_PV_Anlage">Parameter!#REF!</definedName>
    <definedName name="ZuschussBatterie">Parameter!#REF!</definedName>
  </definedNames>
  <calcPr calcId="162913"/>
  <customWorkbookViews>
    <customWorkbookView name="Alfred Körblein - Persönliche Ansicht" guid="{36051EDE-EE05-46A8-9481-5CD2E0A132E3}" mergeInterval="0" personalView="1" maximized="1" windowWidth="1020" windowHeight="56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8" i="4" l="1"/>
  <c r="I19" i="4"/>
  <c r="I20" i="4"/>
  <c r="I21" i="4"/>
  <c r="I22" i="4"/>
  <c r="I23" i="4"/>
  <c r="I24" i="4"/>
  <c r="I25" i="4"/>
  <c r="I26" i="4"/>
  <c r="I27" i="4"/>
  <c r="I28" i="4"/>
  <c r="I13" i="4"/>
  <c r="I14" i="4"/>
  <c r="I15" i="4"/>
  <c r="I16" i="4"/>
  <c r="I17" i="4"/>
  <c r="I11" i="4"/>
  <c r="I12" i="4"/>
  <c r="B22" i="2" l="1"/>
  <c r="H14" i="4"/>
  <c r="H13" i="4"/>
  <c r="H12" i="4"/>
  <c r="H9" i="4"/>
  <c r="H10" i="4"/>
  <c r="H8" i="4"/>
  <c r="L19" i="8" l="1"/>
  <c r="L13" i="8"/>
  <c r="J19" i="8"/>
  <c r="J13" i="8"/>
  <c r="H11" i="4"/>
  <c r="B12" i="8" l="1"/>
  <c r="E67" i="2"/>
  <c r="E68" i="2" s="1"/>
  <c r="E69" i="2" s="1"/>
  <c r="E70" i="2" s="1"/>
  <c r="E71" i="2" s="1"/>
  <c r="E72" i="2" s="1"/>
  <c r="E73" i="2" s="1"/>
  <c r="E74" i="2" s="1"/>
  <c r="E75" i="2" s="1"/>
  <c r="E76" i="2" s="1"/>
  <c r="E77" i="2" s="1"/>
  <c r="B36" i="2" l="1"/>
  <c r="B23" i="2" s="1"/>
  <c r="M7" i="4"/>
  <c r="K13" i="8"/>
  <c r="K14" i="8" s="1"/>
  <c r="K15" i="8" s="1"/>
  <c r="K16" i="8" s="1"/>
  <c r="K17" i="8" s="1"/>
  <c r="K18" i="8" s="1"/>
  <c r="K19" i="8" s="1"/>
  <c r="K20" i="8" s="1"/>
  <c r="K21" i="8" s="1"/>
  <c r="K22" i="8" s="1"/>
  <c r="K23" i="8" s="1"/>
  <c r="I13" i="8"/>
  <c r="I14" i="8" s="1"/>
  <c r="I15" i="8" s="1"/>
  <c r="I16" i="8" s="1"/>
  <c r="I17" i="8" s="1"/>
  <c r="I18" i="8" s="1"/>
  <c r="I19" i="8" s="1"/>
  <c r="I20" i="8" s="1"/>
  <c r="I21" i="8" s="1"/>
  <c r="I22" i="8" s="1"/>
  <c r="I23" i="8" s="1"/>
  <c r="F37" i="2"/>
  <c r="G13" i="8"/>
  <c r="G14" i="8" s="1"/>
  <c r="G15" i="8" s="1"/>
  <c r="G16" i="8" s="1"/>
  <c r="G17" i="8" s="1"/>
  <c r="E13" i="8"/>
  <c r="E14" i="8" s="1"/>
  <c r="E15" i="8" s="1"/>
  <c r="E16" i="8" s="1"/>
  <c r="E17" i="8" s="1"/>
  <c r="G18" i="8" l="1"/>
  <c r="G19" i="8" s="1"/>
  <c r="G20" i="8" s="1"/>
  <c r="G21" i="8" s="1"/>
  <c r="G22" i="8" s="1"/>
  <c r="G23" i="8" s="1"/>
  <c r="E18" i="8"/>
  <c r="E19" i="8" s="1"/>
  <c r="E20" i="8" s="1"/>
  <c r="E21" i="8" s="1"/>
  <c r="E22" i="8" s="1"/>
  <c r="E23" i="8" s="1"/>
  <c r="C13" i="8" l="1"/>
  <c r="C14" i="8" s="1"/>
  <c r="C15" i="8" s="1"/>
  <c r="C16" i="8" s="1"/>
  <c r="C17" i="8" s="1"/>
  <c r="C18" i="8" s="1"/>
  <c r="C19" i="8" s="1"/>
  <c r="C20" i="8" s="1"/>
  <c r="C21" i="8" s="1"/>
  <c r="C22" i="8" s="1"/>
  <c r="C23" i="8" s="1"/>
  <c r="A13" i="8" l="1"/>
  <c r="A14" i="8" s="1"/>
  <c r="A15" i="8" s="1"/>
  <c r="A16" i="8" s="1"/>
  <c r="A17" i="8" s="1"/>
  <c r="A18" i="8" s="1"/>
  <c r="A19" i="8" s="1"/>
  <c r="A20" i="8" s="1"/>
  <c r="A21" i="8" s="1"/>
  <c r="A22" i="8" s="1"/>
  <c r="A23" i="8" s="1"/>
  <c r="D9" i="4" l="1"/>
  <c r="D10" i="4"/>
  <c r="D11" i="4"/>
  <c r="D12" i="4"/>
  <c r="D13" i="4"/>
  <c r="D14" i="4"/>
  <c r="D15" i="4"/>
  <c r="D16" i="4"/>
  <c r="D17" i="4"/>
  <c r="D18" i="4"/>
  <c r="D19" i="4"/>
  <c r="D20" i="4"/>
  <c r="D21" i="4"/>
  <c r="D22" i="4"/>
  <c r="D23" i="4"/>
  <c r="D24" i="4"/>
  <c r="D25" i="4"/>
  <c r="D26" i="4"/>
  <c r="D27" i="4"/>
  <c r="D28" i="4"/>
  <c r="D8" i="4" l="1"/>
  <c r="B13" i="8" l="1"/>
  <c r="B14" i="8" l="1"/>
  <c r="B15" i="8" l="1"/>
  <c r="B16" i="8" s="1"/>
  <c r="B17" i="8" s="1"/>
  <c r="B18" i="8" s="1"/>
  <c r="B19" i="8" s="1"/>
  <c r="B20" i="8" s="1"/>
  <c r="B21" i="8" s="1"/>
  <c r="B22" i="8" s="1"/>
  <c r="B23" i="8" s="1"/>
  <c r="D12" i="8" s="1"/>
  <c r="L12" i="4"/>
  <c r="E2" i="7"/>
  <c r="E3" i="7"/>
  <c r="D2" i="7" s="1"/>
  <c r="C8" i="4" s="1"/>
  <c r="D3" i="7"/>
  <c r="E4" i="7"/>
  <c r="E5" i="7"/>
  <c r="D4" i="7" s="1"/>
  <c r="D5" i="7"/>
  <c r="E6" i="7"/>
  <c r="E7" i="7"/>
  <c r="E8" i="7"/>
  <c r="E9" i="7"/>
  <c r="D9" i="7" s="1"/>
  <c r="E10" i="7"/>
  <c r="E11" i="7"/>
  <c r="D10" i="7" s="1"/>
  <c r="E12" i="7"/>
  <c r="D12" i="7" s="1"/>
  <c r="E13" i="7"/>
  <c r="D13" i="7"/>
  <c r="B14" i="7"/>
  <c r="A1" i="4"/>
  <c r="A2" i="4"/>
  <c r="B8" i="4"/>
  <c r="B9" i="4" s="1"/>
  <c r="B10" i="4" s="1"/>
  <c r="B11" i="4" s="1"/>
  <c r="B12" i="4" s="1"/>
  <c r="B13" i="4" s="1"/>
  <c r="B14" i="4" s="1"/>
  <c r="B15" i="4" s="1"/>
  <c r="B16" i="4" s="1"/>
  <c r="B17" i="4" s="1"/>
  <c r="B18" i="4" s="1"/>
  <c r="B19" i="4" s="1"/>
  <c r="B20" i="4" s="1"/>
  <c r="B21" i="4" s="1"/>
  <c r="B22" i="4" s="1"/>
  <c r="B23" i="4" s="1"/>
  <c r="B24" i="4" s="1"/>
  <c r="B25" i="4" s="1"/>
  <c r="B26" i="4" s="1"/>
  <c r="B27" i="4" s="1"/>
  <c r="B28" i="4" s="1"/>
  <c r="J8" i="4"/>
  <c r="J9" i="4" s="1"/>
  <c r="J10" i="4" s="1"/>
  <c r="J11" i="4" s="1"/>
  <c r="J12" i="4" s="1"/>
  <c r="L8" i="4"/>
  <c r="M8" i="4" s="1"/>
  <c r="C9" i="4"/>
  <c r="L9" i="4"/>
  <c r="C10" i="4"/>
  <c r="C11" i="4"/>
  <c r="C12" i="4"/>
  <c r="C13" i="4"/>
  <c r="C14" i="4"/>
  <c r="C15" i="4"/>
  <c r="C16" i="4"/>
  <c r="C17" i="4"/>
  <c r="C18" i="4"/>
  <c r="C19" i="4"/>
  <c r="L19" i="4"/>
  <c r="C20" i="4"/>
  <c r="L20" i="4"/>
  <c r="C21" i="4"/>
  <c r="L21" i="4"/>
  <c r="C22" i="4"/>
  <c r="L22" i="4"/>
  <c r="C23" i="4"/>
  <c r="L23" i="4"/>
  <c r="C24" i="4"/>
  <c r="L24" i="4"/>
  <c r="C25" i="4"/>
  <c r="L25" i="4"/>
  <c r="C26" i="4"/>
  <c r="L26" i="4"/>
  <c r="C27" i="4"/>
  <c r="L27" i="4"/>
  <c r="C28" i="4"/>
  <c r="L28" i="4"/>
  <c r="D19" i="2"/>
  <c r="E55" i="2"/>
  <c r="A2" i="1"/>
  <c r="D7" i="7"/>
  <c r="D6" i="7"/>
  <c r="H18" i="4" l="1"/>
  <c r="R26" i="4"/>
  <c r="R28" i="4"/>
  <c r="H22" i="4"/>
  <c r="R16" i="4"/>
  <c r="R8" i="4"/>
  <c r="H24" i="4"/>
  <c r="R20" i="4"/>
  <c r="H17" i="4"/>
  <c r="H27" i="4"/>
  <c r="H25" i="4"/>
  <c r="H23" i="4"/>
  <c r="R21" i="4"/>
  <c r="H19" i="4"/>
  <c r="H15" i="4"/>
  <c r="I8" i="4"/>
  <c r="I10" i="4"/>
  <c r="Q10" i="4" s="1"/>
  <c r="Q12" i="4"/>
  <c r="I9" i="4"/>
  <c r="Q9" i="4" s="1"/>
  <c r="Q11" i="4"/>
  <c r="B3" i="8"/>
  <c r="M9" i="4"/>
  <c r="H21" i="4"/>
  <c r="H26" i="4"/>
  <c r="H28" i="4"/>
  <c r="H20" i="4"/>
  <c r="H16" i="4"/>
  <c r="D11" i="7"/>
  <c r="D8" i="7"/>
  <c r="D13" i="8"/>
  <c r="D14" i="8" s="1"/>
  <c r="R10" i="4"/>
  <c r="R12" i="4"/>
  <c r="R9" i="4"/>
  <c r="R11" i="4"/>
  <c r="L18" i="4"/>
  <c r="E14" i="4"/>
  <c r="F14" i="4" s="1"/>
  <c r="L16" i="4"/>
  <c r="L13" i="4"/>
  <c r="L11" i="4"/>
  <c r="E17" i="4"/>
  <c r="F17" i="4" s="1"/>
  <c r="L10" i="4"/>
  <c r="L15" i="4"/>
  <c r="E10" i="4"/>
  <c r="F10" i="4" s="1"/>
  <c r="E28" i="4"/>
  <c r="F28" i="4" s="1"/>
  <c r="R14" i="4"/>
  <c r="L14" i="4"/>
  <c r="E11" i="4"/>
  <c r="F11" i="4" s="1"/>
  <c r="L17" i="4"/>
  <c r="K8" i="4"/>
  <c r="E21" i="4"/>
  <c r="F21" i="4" s="1"/>
  <c r="E26" i="4"/>
  <c r="F26" i="4" s="1"/>
  <c r="R17" i="4"/>
  <c r="D40" i="2"/>
  <c r="R18" i="4"/>
  <c r="E24" i="4"/>
  <c r="F24" i="4" s="1"/>
  <c r="E20" i="4"/>
  <c r="F20" i="4" s="1"/>
  <c r="E12" i="4"/>
  <c r="F12" i="4" s="1"/>
  <c r="E25" i="4"/>
  <c r="F25" i="4" s="1"/>
  <c r="E18" i="4"/>
  <c r="F18" i="4" s="1"/>
  <c r="R23" i="4"/>
  <c r="R24" i="4"/>
  <c r="R22" i="4"/>
  <c r="R25" i="4"/>
  <c r="E22" i="4"/>
  <c r="F22" i="4" s="1"/>
  <c r="R15" i="4"/>
  <c r="E23" i="4"/>
  <c r="F23" i="4" s="1"/>
  <c r="E8" i="4"/>
  <c r="F8" i="4" s="1"/>
  <c r="E16" i="4"/>
  <c r="F16" i="4" s="1"/>
  <c r="E9" i="4"/>
  <c r="J13" i="4"/>
  <c r="J14" i="4" s="1"/>
  <c r="J15" i="4" s="1"/>
  <c r="J16" i="4" s="1"/>
  <c r="J17" i="4" s="1"/>
  <c r="J18" i="4" s="1"/>
  <c r="J19" i="4" s="1"/>
  <c r="J20" i="4" s="1"/>
  <c r="E19" i="4"/>
  <c r="F19" i="4" s="1"/>
  <c r="C29" i="4"/>
  <c r="R19" i="4"/>
  <c r="R27" i="4"/>
  <c r="E27" i="4"/>
  <c r="F27" i="4" s="1"/>
  <c r="E15" i="4"/>
  <c r="F15" i="4" s="1"/>
  <c r="R13" i="4"/>
  <c r="E13" i="4"/>
  <c r="F13" i="4" s="1"/>
  <c r="M10" i="4" l="1"/>
  <c r="M11" i="4" s="1"/>
  <c r="M12" i="4" s="1"/>
  <c r="M13" i="4" s="1"/>
  <c r="M14" i="4" s="1"/>
  <c r="M15" i="4" s="1"/>
  <c r="M16" i="4" s="1"/>
  <c r="M17" i="4" s="1"/>
  <c r="M18" i="4" s="1"/>
  <c r="M19" i="4" s="1"/>
  <c r="M20" i="4" s="1"/>
  <c r="M21" i="4" s="1"/>
  <c r="M22" i="4" s="1"/>
  <c r="M23" i="4" s="1"/>
  <c r="M24" i="4" s="1"/>
  <c r="M25" i="4" s="1"/>
  <c r="M26" i="4" s="1"/>
  <c r="M27" i="4" s="1"/>
  <c r="M28" i="4" s="1"/>
  <c r="H29" i="4"/>
  <c r="D15" i="8"/>
  <c r="D16" i="8" s="1"/>
  <c r="D17" i="8" s="1"/>
  <c r="D18" i="8" s="1"/>
  <c r="L29" i="4"/>
  <c r="K9" i="4"/>
  <c r="F9" i="4"/>
  <c r="Q13" i="4"/>
  <c r="Q17" i="4"/>
  <c r="R29" i="4"/>
  <c r="Q18" i="4"/>
  <c r="I29" i="4"/>
  <c r="Q8" i="4"/>
  <c r="Q14" i="4"/>
  <c r="K10" i="4"/>
  <c r="Q20" i="4"/>
  <c r="J21" i="4"/>
  <c r="Q19" i="4"/>
  <c r="Q15" i="4"/>
  <c r="Q16" i="4"/>
  <c r="E29" i="4"/>
  <c r="D30" i="4" s="1"/>
  <c r="B13" i="2" s="1"/>
  <c r="D19" i="8" l="1"/>
  <c r="D20" i="8" s="1"/>
  <c r="D21" i="8" s="1"/>
  <c r="D22" i="8" s="1"/>
  <c r="D23" i="8" s="1"/>
  <c r="F12" i="8" s="1"/>
  <c r="F29" i="4"/>
  <c r="J22" i="4"/>
  <c r="Q21" i="4"/>
  <c r="K11" i="4"/>
  <c r="B4" i="8" l="1"/>
  <c r="F13" i="8"/>
  <c r="F14" i="8" s="1"/>
  <c r="F15" i="8" s="1"/>
  <c r="F16" i="8" s="1"/>
  <c r="F17" i="8" s="1"/>
  <c r="F18" i="8" s="1"/>
  <c r="F19" i="8" s="1"/>
  <c r="F20" i="8" s="1"/>
  <c r="F21" i="8" s="1"/>
  <c r="F22" i="8" s="1"/>
  <c r="F23" i="8" s="1"/>
  <c r="H12" i="8" s="1"/>
  <c r="K12" i="4"/>
  <c r="Q22" i="4"/>
  <c r="J23" i="4"/>
  <c r="B5" i="8" l="1"/>
  <c r="H13" i="8"/>
  <c r="H14" i="8" s="1"/>
  <c r="H15" i="8" s="1"/>
  <c r="H16" i="8" s="1"/>
  <c r="H17" i="8" s="1"/>
  <c r="H18" i="8" s="1"/>
  <c r="H19" i="8" s="1"/>
  <c r="H20" i="8" s="1"/>
  <c r="H21" i="8" s="1"/>
  <c r="H22" i="8" s="1"/>
  <c r="H23" i="8" s="1"/>
  <c r="J14" i="8" s="1"/>
  <c r="J15" i="8" s="1"/>
  <c r="J16" i="8" s="1"/>
  <c r="K13" i="4"/>
  <c r="Q23" i="4"/>
  <c r="J24" i="4"/>
  <c r="B6" i="8" l="1"/>
  <c r="J17" i="8"/>
  <c r="J18" i="8" s="1"/>
  <c r="J20" i="8" s="1"/>
  <c r="J21" i="8" s="1"/>
  <c r="J22" i="8" s="1"/>
  <c r="J23" i="8" s="1"/>
  <c r="L12" i="8" s="1"/>
  <c r="L14" i="8" s="1"/>
  <c r="L15" i="8" s="1"/>
  <c r="L16" i="8" s="1"/>
  <c r="K14" i="4"/>
  <c r="J25" i="4"/>
  <c r="Q24" i="4"/>
  <c r="B7" i="8" l="1"/>
  <c r="B37" i="2" s="1"/>
  <c r="L17" i="8"/>
  <c r="L18" i="8" s="1"/>
  <c r="L20" i="8" s="1"/>
  <c r="L21" i="8" s="1"/>
  <c r="L22" i="8" s="1"/>
  <c r="L23" i="8" s="1"/>
  <c r="K15" i="4"/>
  <c r="J26" i="4"/>
  <c r="Q25" i="4"/>
  <c r="G12" i="4" l="1"/>
  <c r="G28" i="4"/>
  <c r="G13" i="4"/>
  <c r="G14" i="4"/>
  <c r="G15" i="4"/>
  <c r="G26" i="4"/>
  <c r="G16" i="4"/>
  <c r="G17" i="4"/>
  <c r="G18" i="4"/>
  <c r="G19" i="4"/>
  <c r="G20" i="4"/>
  <c r="G27" i="4"/>
  <c r="G21" i="4"/>
  <c r="G22" i="4"/>
  <c r="G23" i="4"/>
  <c r="G24" i="4"/>
  <c r="G25" i="4"/>
  <c r="G11" i="4"/>
  <c r="G10" i="4"/>
  <c r="G9" i="4"/>
  <c r="G8" i="4"/>
  <c r="B8" i="8"/>
  <c r="J27" i="4"/>
  <c r="Q26" i="4"/>
  <c r="K16" i="4"/>
  <c r="N10" i="4" l="1"/>
  <c r="O10" i="4" s="1"/>
  <c r="N14" i="4"/>
  <c r="O14" i="4" s="1"/>
  <c r="N11" i="4"/>
  <c r="O11" i="4" s="1"/>
  <c r="N15" i="4"/>
  <c r="O15" i="4" s="1"/>
  <c r="N12" i="4"/>
  <c r="O12" i="4" s="1"/>
  <c r="N16" i="4"/>
  <c r="O16" i="4" s="1"/>
  <c r="N9" i="4"/>
  <c r="N13" i="4"/>
  <c r="O13" i="4" s="1"/>
  <c r="N8" i="4"/>
  <c r="Q27" i="4"/>
  <c r="J28" i="4"/>
  <c r="K17" i="4"/>
  <c r="O8" i="4" l="1"/>
  <c r="P8" i="4" s="1"/>
  <c r="O9" i="4"/>
  <c r="N17" i="4"/>
  <c r="O17" i="4" s="1"/>
  <c r="G29" i="4"/>
  <c r="K18" i="4"/>
  <c r="N18" i="4" s="1"/>
  <c r="O18" i="4" s="1"/>
  <c r="Q28" i="4"/>
  <c r="Q29" i="4" s="1"/>
  <c r="J29" i="4"/>
  <c r="R31" i="4" l="1"/>
  <c r="B14" i="2" s="1"/>
  <c r="P9" i="4"/>
  <c r="P10" i="4" s="1"/>
  <c r="K19" i="4"/>
  <c r="N19" i="4" s="1"/>
  <c r="O19" i="4" s="1"/>
  <c r="K20" i="4" l="1"/>
  <c r="N20" i="4" s="1"/>
  <c r="O20" i="4" s="1"/>
  <c r="P11" i="4" l="1"/>
  <c r="K21" i="4"/>
  <c r="N21" i="4" s="1"/>
  <c r="O21" i="4" s="1"/>
  <c r="K22" i="4" l="1"/>
  <c r="N22" i="4" s="1"/>
  <c r="O22" i="4" s="1"/>
  <c r="K23" i="4" l="1"/>
  <c r="N23" i="4" s="1"/>
  <c r="O23" i="4" s="1"/>
  <c r="P12" i="4" l="1"/>
  <c r="K24" i="4"/>
  <c r="N24" i="4" s="1"/>
  <c r="O24" i="4" s="1"/>
  <c r="K25" i="4" l="1"/>
  <c r="N25" i="4" s="1"/>
  <c r="O25" i="4" s="1"/>
  <c r="K26" i="4" l="1"/>
  <c r="N26" i="4" s="1"/>
  <c r="O26" i="4" s="1"/>
  <c r="P13" i="4" l="1"/>
  <c r="P14" i="4" s="1"/>
  <c r="K27" i="4"/>
  <c r="N27" i="4" s="1"/>
  <c r="O27" i="4" s="1"/>
  <c r="P15" i="4" l="1"/>
  <c r="K28" i="4"/>
  <c r="N28" i="4" s="1"/>
  <c r="S14" i="4"/>
  <c r="O28" i="4" l="1"/>
  <c r="N30" i="4"/>
  <c r="B11" i="2" s="1"/>
  <c r="N29" i="4"/>
  <c r="K29" i="4"/>
  <c r="S15" i="4"/>
  <c r="P16" i="4" l="1"/>
  <c r="S16" i="4" l="1"/>
  <c r="P17" i="4" l="1"/>
  <c r="S17" i="4" l="1"/>
  <c r="P18" i="4" l="1"/>
  <c r="S18" i="4" l="1"/>
  <c r="P19" i="4" l="1"/>
  <c r="S19" i="4" l="1"/>
  <c r="P20" i="4" l="1"/>
  <c r="S20" i="4" l="1"/>
  <c r="P21" i="4" l="1"/>
  <c r="S21" i="4" l="1"/>
  <c r="P22" i="4" l="1"/>
  <c r="S22" i="4" l="1"/>
  <c r="P23" i="4" l="1"/>
  <c r="S23" i="4" l="1"/>
  <c r="P24" i="4" l="1"/>
  <c r="S24" i="4" l="1"/>
  <c r="P25" i="4" l="1"/>
  <c r="S25" i="4" l="1"/>
  <c r="P26" i="4" l="1"/>
  <c r="S26" i="4" l="1"/>
  <c r="P27" i="4" l="1"/>
  <c r="S27" i="4" l="1"/>
  <c r="O29" i="4" l="1"/>
  <c r="B15" i="2" s="1"/>
  <c r="P28" i="4"/>
  <c r="S28" i="4" l="1"/>
  <c r="S29" i="4" s="1"/>
  <c r="B12" i="2" s="1"/>
</calcChain>
</file>

<file path=xl/comments1.xml><?xml version="1.0" encoding="utf-8"?>
<comments xmlns="http://schemas.openxmlformats.org/spreadsheetml/2006/main">
  <authors>
    <author>Alfred Körblein</author>
    <author/>
    <author>Hauke Doerk</author>
    <author>Windows-Benutzer</author>
    <author>Windows User</author>
  </authors>
  <commentList>
    <comment ref="B11" authorId="0" shapeId="0">
      <text>
        <r>
          <rPr>
            <b/>
            <sz val="9"/>
            <color indexed="81"/>
            <rFont val="Segoe UI"/>
            <family val="2"/>
          </rPr>
          <t>Ergebnis evtl. ungültig bei Laufzeit des KfW Kredits von 20 Jahren</t>
        </r>
        <r>
          <rPr>
            <sz val="9"/>
            <color indexed="81"/>
            <rFont val="Segoe UI"/>
            <family val="2"/>
          </rPr>
          <t xml:space="preserve">
</t>
        </r>
      </text>
    </comment>
    <comment ref="B12" authorId="0" shapeId="0">
      <text>
        <r>
          <rPr>
            <b/>
            <sz val="9"/>
            <color indexed="81"/>
            <rFont val="Segoe UI"/>
            <family val="2"/>
          </rPr>
          <t xml:space="preserve">Ergebnis evtl. ungültig bei Lauzeit des KfW-Kredits von 20 Jahren
</t>
        </r>
        <r>
          <rPr>
            <sz val="9"/>
            <color indexed="81"/>
            <rFont val="Segoe UI"/>
            <family val="2"/>
          </rPr>
          <t xml:space="preserve">
</t>
        </r>
      </text>
    </comment>
    <comment ref="B14" authorId="0" shapeId="0">
      <text>
        <r>
          <rPr>
            <b/>
            <sz val="9"/>
            <color indexed="81"/>
            <rFont val="Tahoma"/>
            <family val="2"/>
          </rPr>
          <t>LCOE:
Levelized Cost of Electricity</t>
        </r>
      </text>
    </comment>
    <comment ref="B22" authorId="1" shapeId="0">
      <text>
        <r>
          <rPr>
            <b/>
            <sz val="9"/>
            <color indexed="8"/>
            <rFont val="Arial"/>
            <family val="2"/>
          </rPr>
          <t>z.B. für Planung und Zwischenfinanzierung der Mehrwertkosten</t>
        </r>
      </text>
    </comment>
    <comment ref="B23" authorId="2" shapeId="0">
      <text>
        <r>
          <rPr>
            <b/>
            <sz val="9"/>
            <color indexed="81"/>
            <rFont val="Segoe UI"/>
            <family val="2"/>
          </rPr>
          <t>Betriebskosten</t>
        </r>
      </text>
    </comment>
    <comment ref="B28" authorId="0" shapeId="0">
      <text>
        <r>
          <rPr>
            <b/>
            <sz val="9"/>
            <color indexed="81"/>
            <rFont val="Segoe UI"/>
            <family val="2"/>
          </rPr>
          <t>Anteil des Direktverbrauchs (Direktnutzung) an der PV-Stromerzeugung, Dieser Anteil muss bei der Planung der Anlage unter Berücksichtigung des individuellen Verbrauchs- und Erzeugungsprofils geschätzt werden.</t>
        </r>
      </text>
    </comment>
    <comment ref="B29" authorId="0" shapeId="0">
      <text>
        <r>
          <rPr>
            <b/>
            <sz val="9"/>
            <color indexed="81"/>
            <rFont val="Segoe UI"/>
            <family val="2"/>
          </rPr>
          <t>PV-Stromeinspeisung in die Batterie, in Prozent der PV-Stromerzeugung. Auch dieser Anteil muss bei der Planung der Anlage geschätzt werden.</t>
        </r>
        <r>
          <rPr>
            <sz val="9"/>
            <color indexed="81"/>
            <rFont val="Segoe UI"/>
            <family val="2"/>
          </rPr>
          <t xml:space="preserve">
</t>
        </r>
      </text>
    </comment>
    <comment ref="B31" authorId="3" shapeId="0">
      <text>
        <r>
          <rPr>
            <b/>
            <sz val="9"/>
            <color indexed="81"/>
            <rFont val="Segoe UI"/>
            <family val="2"/>
          </rPr>
          <t>Jährlicher anteiliger Rückgang der zusätzlichen Direktnutzung über Batteriespeicher infolge Abnahme der Speicherkapazität.
Beispiel: Ein Rückgang um 5% bedeutet eine Abnahme der Direktnutzung von 40% auf 38%.</t>
        </r>
      </text>
    </comment>
    <comment ref="B34" authorId="2" shapeId="0">
      <text>
        <r>
          <rPr>
            <b/>
            <sz val="9"/>
            <color indexed="81"/>
            <rFont val="Segoe UI"/>
            <charset val="1"/>
          </rPr>
          <t>Die Implementierung der befristeten Übergangszahlung von 5,2ct/kWh ist nur korremt für Inbetriebnahme im Monat 1 2027 implementiert</t>
        </r>
        <r>
          <rPr>
            <sz val="9"/>
            <color indexed="81"/>
            <rFont val="Segoe UI"/>
            <charset val="1"/>
          </rPr>
          <t xml:space="preserve">
</t>
        </r>
      </text>
    </comment>
    <comment ref="B37" authorId="2" shapeId="0">
      <text>
        <r>
          <rPr>
            <b/>
            <sz val="9"/>
            <color indexed="81"/>
            <rFont val="Segoe UI"/>
            <charset val="1"/>
          </rPr>
          <t>In dieser Version wird die Einspeisevergütung ab Inbetriebnahme 2027 gestrichen und durch eine befristete Zahlung ersetzt</t>
        </r>
        <r>
          <rPr>
            <sz val="9"/>
            <color indexed="81"/>
            <rFont val="Segoe UI"/>
            <charset val="1"/>
          </rPr>
          <t xml:space="preserve">
</t>
        </r>
      </text>
    </comment>
    <comment ref="B50" authorId="0" shapeId="0">
      <text>
        <r>
          <rPr>
            <b/>
            <sz val="9"/>
            <color indexed="81"/>
            <rFont val="Segoe UI"/>
            <family val="2"/>
          </rPr>
          <t>PV-Anlagen bis zu 30 kWp auf Einfamilienhäusern einschließlich Nebengebäuden sind von der Einkommensteuerpflicht befreit. Für Mehrfamilienhäuser gilt eine Grenze von 15 kWp pro Wohneinheit.</t>
        </r>
      </text>
    </comment>
    <comment ref="B53" authorId="0" shapeId="0">
      <text>
        <r>
          <rPr>
            <b/>
            <sz val="9"/>
            <color indexed="81"/>
            <rFont val="Arial"/>
            <family val="2"/>
          </rPr>
          <t>Zinssatz, mit dem die jährlichen Erträge abgezinst (diskontiert) werden, um den Barwert zu ermitteln</t>
        </r>
      </text>
    </comment>
    <comment ref="B59" authorId="2" shapeId="0">
      <text>
        <r>
          <rPr>
            <b/>
            <sz val="9"/>
            <color indexed="81"/>
            <rFont val="Segoe UI"/>
            <charset val="1"/>
          </rPr>
          <t>Die Implementierung des Bonus ist nur für Inbetriebnahme im Monat 1 2027 korrekt implementiert!</t>
        </r>
      </text>
    </comment>
    <comment ref="B62" authorId="4" shapeId="0">
      <text>
        <r>
          <rPr>
            <b/>
            <sz val="9"/>
            <color indexed="81"/>
            <rFont val="Tahoma"/>
            <family val="2"/>
          </rPr>
          <t xml:space="preserve">Gewerbebetriebe zahlen keine Umsatzsteuer auf Eigenverbrauch </t>
        </r>
        <r>
          <rPr>
            <sz val="9"/>
            <color indexed="81"/>
            <rFont val="Tahoma"/>
            <family val="2"/>
          </rPr>
          <t xml:space="preserve">
</t>
        </r>
      </text>
    </comment>
  </commentList>
</comments>
</file>

<file path=xl/sharedStrings.xml><?xml version="1.0" encoding="utf-8"?>
<sst xmlns="http://schemas.openxmlformats.org/spreadsheetml/2006/main" count="165" uniqueCount="132">
  <si>
    <t>Inflationsrate</t>
  </si>
  <si>
    <t>p.a.</t>
  </si>
  <si>
    <t>Jahr</t>
  </si>
  <si>
    <t>Zinsen</t>
  </si>
  <si>
    <t>Ergebnisse:</t>
  </si>
  <si>
    <t>Die Veränderung dieser Dateien und die Weiterverbreitung veränderter Kopien ist ausdrücklich untersagt.</t>
  </si>
  <si>
    <t>kWp</t>
  </si>
  <si>
    <t>laufende</t>
  </si>
  <si>
    <t>Kosten</t>
  </si>
  <si>
    <t>Restschuld</t>
  </si>
  <si>
    <t>€/kWp</t>
  </si>
  <si>
    <t>Tilgung</t>
  </si>
  <si>
    <t>€</t>
  </si>
  <si>
    <t>Hinweise:</t>
  </si>
  <si>
    <t>Jahre</t>
  </si>
  <si>
    <t>Kapitalwert</t>
  </si>
  <si>
    <t>spezifischer Stromertrag</t>
  </si>
  <si>
    <t xml:space="preserve">     Auszahlung</t>
  </si>
  <si>
    <t xml:space="preserve">     Laufzeit</t>
  </si>
  <si>
    <t xml:space="preserve">     Tilgungsfreie Zeit</t>
  </si>
  <si>
    <t xml:space="preserve">     Zinssatz (nominal)</t>
  </si>
  <si>
    <t>Wirtschaftlichkeit von Solarstrom</t>
  </si>
  <si>
    <t>PV-Anlage</t>
  </si>
  <si>
    <t>Finanzierung</t>
  </si>
  <si>
    <t>Sonstiges</t>
  </si>
  <si>
    <t>Zinssatz für Barwertermittlung (Diskontsatz)</t>
  </si>
  <si>
    <t xml:space="preserve">     Zinssatz nach Zinsbindung</t>
  </si>
  <si>
    <t>Die Exceltabelle wurde sorgfältig getestet. Dennoch kann für die Richtigkeit und die korrekte Funktion keine Gewähr übernommen werden.</t>
  </si>
  <si>
    <t>Dachmiete</t>
  </si>
  <si>
    <t>kWh/a</t>
  </si>
  <si>
    <t>Kapitalwert (Gewinn bzw. Verlust)</t>
  </si>
  <si>
    <t>Januar</t>
  </si>
  <si>
    <t>Februar</t>
  </si>
  <si>
    <t>März</t>
  </si>
  <si>
    <t>April</t>
  </si>
  <si>
    <t>Mai</t>
  </si>
  <si>
    <t>Juni</t>
  </si>
  <si>
    <t>Juli</t>
  </si>
  <si>
    <t>August</t>
  </si>
  <si>
    <t>September</t>
  </si>
  <si>
    <t>Oktober</t>
  </si>
  <si>
    <t>November</t>
  </si>
  <si>
    <t>Dezember</t>
  </si>
  <si>
    <t>nein</t>
  </si>
  <si>
    <t>€/kWh</t>
  </si>
  <si>
    <r>
      <t xml:space="preserve">erstellt von 
</t>
    </r>
    <r>
      <rPr>
        <b/>
        <sz val="11"/>
        <rFont val="Arial"/>
        <family val="2"/>
      </rPr>
      <t>Dr. Alfred Körblein</t>
    </r>
  </si>
  <si>
    <t xml:space="preserve">Bei Nutzung der Excel-Tabelle durch Organisationen und für öffentliche oder gewerbliche Zwecke bitten wir um die Angabe der Quelle: Umweltinstitut München e.V. </t>
  </si>
  <si>
    <r>
      <t xml:space="preserve">Die </t>
    </r>
    <r>
      <rPr>
        <b/>
        <sz val="10"/>
        <rFont val="Arial"/>
        <family val="2"/>
      </rPr>
      <t>Inflationsrate</t>
    </r>
    <r>
      <rPr>
        <sz val="10"/>
        <rFont val="Arial"/>
        <family val="2"/>
      </rPr>
      <t xml:space="preserve"> geht in die Rechnung ein, weil angenommen wird, dass die laufenden Kosten (Versicherung, Wartung) mit der Inflationsrate ansteigen.</t>
    </r>
  </si>
  <si>
    <t>Copyright  Dr. Alfred Körblein</t>
  </si>
  <si>
    <t>Monat der Inbetriebnahme (1-12)</t>
  </si>
  <si>
    <t>Strompreis im ersten Jahr (netto)</t>
  </si>
  <si>
    <t>interner Zinsfuss (IRR)</t>
  </si>
  <si>
    <t>Erzeugung</t>
  </si>
  <si>
    <t>EEG</t>
  </si>
  <si>
    <t>Vergütung</t>
  </si>
  <si>
    <r>
      <t>Funktion und Ergebnis der Berechnungstabelle:</t>
    </r>
    <r>
      <rPr>
        <sz val="10"/>
        <rFont val="Arial"/>
        <family val="2"/>
      </rPr>
      <t xml:space="preserve">
Die Excel-Tabelle solarstrom.xls gestattet die Berechnung der Wirtschaftlichkeit von privaten Solarstrom-Anlagen (Photovoltaik-Anlagen) unter Berücksichtigung steuerlicher Aspekte. Die Mehrwertsteuer auf die Anschaffungskosten wird rückerstattet und wird deshalb in der Rechnung als durchlaufender Posten behandelt. Als Maß für die Wirtschaftlichkeit wird die mittlere Rendite (interner Zinsfuß) angegeben. 
Die jährlichen Erträge berechnen sich aus der Differenz von Einnahmen und Ausgaben. Die Einnahmen werden aus dem Stromverkauf und den Einsparungen durch Direktverbrauch erzielt, die Ausgaben errechnen sich aus den laufenden Kosten und dem Kapitaldienst. Beim letzteren wird vereinfachend angenommen, dass das Darlehen (z.B. von der KfW) entweder am Anfang oder in der Mitte des Jahres ausbezahlt wurde, abhängig davon, ob die PV-Anlage im ersten oder im zweiten Halbjahr in Betrieb geht.</t>
    </r>
  </si>
  <si>
    <t xml:space="preserve">€    </t>
  </si>
  <si>
    <t>Stromgestehungskosten (LCOE)</t>
  </si>
  <si>
    <t>vermarktung</t>
  </si>
  <si>
    <t>Direkt-</t>
  </si>
  <si>
    <t>Einsparung</t>
  </si>
  <si>
    <t>lauf. Kosten</t>
  </si>
  <si>
    <t>ja</t>
  </si>
  <si>
    <t xml:space="preserve">     Zinsbindung (5 / 10 / 20 Jahre)</t>
  </si>
  <si>
    <t>Eigenfinanzierungsanteil</t>
  </si>
  <si>
    <t>€   entspr.</t>
  </si>
  <si>
    <t>Kosten der PV-Anlage (ohne Batterien, ohne MWSt)</t>
  </si>
  <si>
    <t>Jahr der Inbetriebnahme</t>
  </si>
  <si>
    <t>Die Exceldatei solarstrom.xls wurde von Dr. Alfred Körblein im Jahr 1999 im Rahmen seiner Tätigkeit am Umweltinstitut München e.V. entwickelt. Seitdem gab es zahlreiche Updates. Kritische Kommentare und Verbesserungsvorschläge von Nutzern waren immer eine große Hilfe und sind auch weiterhin sehr willkommen.</t>
  </si>
  <si>
    <t xml:space="preserve">Die restlichen Felder sind gegen irrtümliches Überschreiben gesperrt. </t>
  </si>
  <si>
    <r>
      <t xml:space="preserve">Zinsgünstige KfW-Kredite: </t>
    </r>
    <r>
      <rPr>
        <sz val="10"/>
        <rFont val="Arial"/>
        <family val="2"/>
      </rPr>
      <t>Weiterhin stehen zinsvergünstigte Darlehen der Kreditanstalt für Wiederaufbau (KfW) zur Verfügung. Die Darlehen haben Laufzeiten von 5, 10 und 20 Jahren bei 1, 2 oder 3 tilgungsfreien Jahren. Die Zinsbindung beträgt 5 bzw. 10 Jahre. Die aktuellen Zinskonditionen können von der hompage der KfW heruntergeladen werden (Programmnummer 274).</t>
    </r>
  </si>
  <si>
    <t xml:space="preserve">entspricht </t>
  </si>
  <si>
    <t>€/kWh brutto</t>
  </si>
  <si>
    <t>PVGIS</t>
  </si>
  <si>
    <t>Gesamtkosten</t>
  </si>
  <si>
    <t>Vorgabelisten:</t>
  </si>
  <si>
    <t>LCOE=</t>
  </si>
  <si>
    <t>IBNJahr</t>
  </si>
  <si>
    <t>diskontiert</t>
  </si>
  <si>
    <t>Gewerbebetrieb? (ja/nein)</t>
  </si>
  <si>
    <t>€ p.a.</t>
  </si>
  <si>
    <t>EEG-Einspeisevergütung</t>
  </si>
  <si>
    <t>Monat</t>
  </si>
  <si>
    <t>Der Blattschutz kann bei Bedarf aufgehoben werden.</t>
  </si>
  <si>
    <t>Konditionen</t>
  </si>
  <si>
    <t>kWh/kWpa     siehe:</t>
  </si>
  <si>
    <t>EEG-Vergütung</t>
  </si>
  <si>
    <t>Direktvermarktung (ja / nein)</t>
  </si>
  <si>
    <t>Amortisationszeit</t>
  </si>
  <si>
    <t>Batterie-Lade/Entladeverluste</t>
  </si>
  <si>
    <t xml:space="preserve">  Ertragsminderung pro Jahr</t>
  </si>
  <si>
    <t xml:space="preserve">  Strompreissteigerung</t>
  </si>
  <si>
    <t>Stromerlös bei Direktvermarktung (DV)</t>
  </si>
  <si>
    <t xml:space="preserve">  Jährl. Steigerung des Erlöses bei DV</t>
  </si>
  <si>
    <t>Anlagenleistung (max. 100 kWp)</t>
  </si>
  <si>
    <t>%</t>
  </si>
  <si>
    <t>Programm 270</t>
  </si>
  <si>
    <t>cashflow</t>
  </si>
  <si>
    <t>Kalenderjahr</t>
  </si>
  <si>
    <t>Die eingerahmten Felder können beliebig verändert werden; die Inhalte sind lediglich Anhaltswerte.</t>
  </si>
  <si>
    <r>
      <t xml:space="preserve">Der </t>
    </r>
    <r>
      <rPr>
        <b/>
        <sz val="10"/>
        <rFont val="Arial"/>
        <family val="2"/>
      </rPr>
      <t>Stromertrag</t>
    </r>
    <r>
      <rPr>
        <sz val="10"/>
        <rFont val="Arial"/>
        <family val="2"/>
      </rPr>
      <t xml:space="preserve"> unterliegt regionalen Unterschieden. Im Münchner Raum kann man von 1000 kWh/a pro kWp installierter Leistung ausgehen. In den nördlicheren Regionen Deutschlands fällt der Ertrag deutlich (bis zu 20%) geringer aus.</t>
    </r>
  </si>
  <si>
    <r>
      <rPr>
        <b/>
        <sz val="10"/>
        <rFont val="Arial"/>
        <family val="2"/>
      </rPr>
      <t>Anlagen mit Speichersystem:</t>
    </r>
    <r>
      <rPr>
        <sz val="10"/>
        <rFont val="Arial"/>
        <family val="2"/>
      </rPr>
      <t xml:space="preserve"> Speichersysteme werden dann steuerlich als Teil der Anlage behandelt, wenn sie zusammen mit der PV-Anlage installiert werden. Bei Nachrüstung wird die Umsatzsteuer nicht rückerstattet.</t>
    </r>
  </si>
  <si>
    <r>
      <t>Achtung:</t>
    </r>
    <r>
      <rPr>
        <sz val="10"/>
        <rFont val="Arial"/>
        <family val="2"/>
      </rPr>
      <t xml:space="preserve"> Das Ergebnis für den internen Zinsfuß (IRR) hängt ab vom eingesetzten Eigenkapital. In der Regel ist er höher je größer der Fremdfinanzierungsanteil ist. In einigen Fällen (z.B. wenn die Anlage weitgehend fremdfinanziert wird) führt die Berechnung des IRR auf eine Fehlermeldung (#Div/0!). Ausschlaggebend ist dann der Kapitalwert, also die Summe der mit dem Diskontastz abgezinsten jährlichen Erträge. Ein positiver Kapitalwert bedeutet Gewinn, ein negativer Kapitalwert Verlust.</t>
    </r>
  </si>
  <si>
    <t>Eigenverbr.</t>
  </si>
  <si>
    <t>Fragen beantwortet Dr. Hauke Doerk vom Umweltinstitut München e.V., Tel. 089-307749-40, hd@umweltinstitut.org</t>
  </si>
  <si>
    <t>Ertrag (kWh/a)</t>
  </si>
  <si>
    <t>Umweltinstitut München e.V.
Goethestr. 20
80336 München
Tel: 089/307749-0
www.umweltinstitut.org</t>
  </si>
  <si>
    <t>Einkommenssteuerbefreiung (ja/nein)</t>
  </si>
  <si>
    <t xml:space="preserve">     Bereitstellung pro Monat</t>
  </si>
  <si>
    <t>PV-Stromeinspeisung in die Batterie</t>
  </si>
  <si>
    <t>Direktnutzung in % des PV-Stromertrags</t>
  </si>
  <si>
    <t>Volleinspeisung? (ja/nein)</t>
  </si>
  <si>
    <t>bei Volleinspeisung:</t>
  </si>
  <si>
    <t>Ertrag</t>
  </si>
  <si>
    <t>IBNMonat</t>
  </si>
  <si>
    <t>Falls Sie Fehler entdecken oder Verbesserungsvorschläge haben, wenden Sie sich bitte an Dr. Alfred Körblein, alfred.koerblein@gmx.de</t>
  </si>
  <si>
    <t>Batteriespeicher (BESS) (ja=1, nein=0)</t>
  </si>
  <si>
    <t>Kosten für BESS (netto)</t>
  </si>
  <si>
    <t>Vorlaufkosten</t>
  </si>
  <si>
    <t>Betriebskosten</t>
  </si>
  <si>
    <t>KFW-Darlehen</t>
  </si>
  <si>
    <t>Barwert</t>
  </si>
  <si>
    <t>KfW Darlehen</t>
  </si>
  <si>
    <t>Eigenverbrauchsquote:</t>
  </si>
  <si>
    <t>Eigenverbrauchsquote</t>
  </si>
  <si>
    <t>Kosten für Ersatzbatterie nach 10 Jahren</t>
  </si>
  <si>
    <t xml:space="preserve">  Jährl. Abnahme der Speicherkapazität</t>
  </si>
  <si>
    <t>Jährlicher Stromverbrauch</t>
  </si>
  <si>
    <t>Stand: 21.07.2026</t>
  </si>
  <si>
    <t>Fixkosten Direktvermarktung</t>
  </si>
  <si>
    <t>Laufende Kostne Direktvermarktung</t>
  </si>
  <si>
    <t>Bonus Direktvermarktung (48 Monate)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</si>
</sst>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0"/>
    <numFmt numFmtId="165" formatCode="0.0%"/>
    <numFmt numFmtId="166" formatCode="#,##0.0"/>
    <numFmt numFmtId="167" formatCode="#,##0.000"/>
    <numFmt numFmtId="168" formatCode="#,##0.0000"/>
    <numFmt numFmtId="169" formatCode="0.000"/>
    <numFmt numFmtId="170" formatCode="0.00000"/>
  </numFmts>
  <fonts count="42" x14ac:knownFonts="1">
    <font>
      <sz val="10"/>
      <name val="Arial"/>
    </font>
    <font>
      <sz val="10"/>
      <name val="Arial"/>
      <family val="2"/>
    </font>
    <font>
      <b/>
      <sz val="12"/>
      <color indexed="8"/>
      <name val="Arial"/>
      <family val="2"/>
    </font>
    <font>
      <sz val="10"/>
      <color indexed="8"/>
      <name val="Arial"/>
      <family val="2"/>
    </font>
    <font>
      <b/>
      <sz val="10"/>
      <color indexed="8"/>
      <name val="Arial"/>
      <family val="2"/>
    </font>
    <font>
      <b/>
      <sz val="10"/>
      <color indexed="10"/>
      <name val="Arial"/>
      <family val="2"/>
    </font>
    <font>
      <sz val="10"/>
      <color indexed="10"/>
      <name val="Arial"/>
      <family val="2"/>
    </font>
    <font>
      <sz val="9"/>
      <color indexed="8"/>
      <name val="Arial"/>
      <family val="2"/>
    </font>
    <font>
      <u/>
      <sz val="10"/>
      <color indexed="12"/>
      <name val="Arial"/>
      <family val="2"/>
    </font>
    <font>
      <b/>
      <sz val="12"/>
      <name val="Arial"/>
      <family val="2"/>
    </font>
    <font>
      <b/>
      <sz val="9"/>
      <color indexed="8"/>
      <name val="Arial"/>
      <family val="2"/>
    </font>
    <font>
      <sz val="9"/>
      <name val="Arial"/>
      <family val="2"/>
    </font>
    <font>
      <sz val="10"/>
      <color indexed="55"/>
      <name val="Arial"/>
      <family val="2"/>
    </font>
    <font>
      <b/>
      <u/>
      <sz val="10"/>
      <color indexed="12"/>
      <name val="Arial"/>
      <family val="2"/>
    </font>
    <font>
      <b/>
      <sz val="10"/>
      <name val="Arial"/>
      <family val="2"/>
    </font>
    <font>
      <sz val="10"/>
      <name val="Arial"/>
      <family val="2"/>
    </font>
    <font>
      <b/>
      <sz val="10"/>
      <color indexed="18"/>
      <name val="Arial"/>
      <family val="2"/>
    </font>
    <font>
      <sz val="10"/>
      <color indexed="18"/>
      <name val="Arial"/>
      <family val="2"/>
    </font>
    <font>
      <b/>
      <sz val="9"/>
      <color indexed="81"/>
      <name val="Tahoma"/>
      <family val="2"/>
    </font>
    <font>
      <sz val="10"/>
      <color indexed="23"/>
      <name val="Arial"/>
      <family val="2"/>
    </font>
    <font>
      <sz val="9"/>
      <color indexed="23"/>
      <name val="Arial"/>
      <family val="2"/>
    </font>
    <font>
      <sz val="14"/>
      <name val="Arial"/>
      <family val="2"/>
    </font>
    <font>
      <b/>
      <sz val="11"/>
      <name val="Arial"/>
      <family val="2"/>
    </font>
    <font>
      <i/>
      <sz val="10"/>
      <name val="Arial"/>
      <family val="2"/>
    </font>
    <font>
      <b/>
      <sz val="9"/>
      <color indexed="81"/>
      <name val="Arial"/>
      <family val="2"/>
    </font>
    <font>
      <sz val="10"/>
      <color indexed="10"/>
      <name val="Arial"/>
      <family val="2"/>
    </font>
    <font>
      <sz val="10"/>
      <color indexed="56"/>
      <name val="Arial"/>
      <family val="2"/>
    </font>
    <font>
      <sz val="10"/>
      <color indexed="23"/>
      <name val="Arial"/>
      <family val="2"/>
    </font>
    <font>
      <sz val="9"/>
      <color indexed="23"/>
      <name val="Arial"/>
      <family val="2"/>
    </font>
    <font>
      <sz val="10"/>
      <color indexed="23"/>
      <name val="Arial"/>
      <family val="2"/>
    </font>
    <font>
      <b/>
      <sz val="10"/>
      <color indexed="12"/>
      <name val="Arial"/>
      <family val="2"/>
    </font>
    <font>
      <sz val="9"/>
      <color indexed="12"/>
      <name val="Arial"/>
      <family val="2"/>
    </font>
    <font>
      <sz val="10"/>
      <color indexed="12"/>
      <name val="Arial"/>
      <family val="2"/>
    </font>
    <font>
      <sz val="9"/>
      <color indexed="81"/>
      <name val="Tahoma"/>
      <family val="2"/>
    </font>
    <font>
      <b/>
      <sz val="9"/>
      <color indexed="81"/>
      <name val="Segoe UI"/>
      <family val="2"/>
    </font>
    <font>
      <sz val="9"/>
      <color indexed="81"/>
      <name val="Segoe UI"/>
      <family val="2"/>
    </font>
    <font>
      <b/>
      <sz val="10"/>
      <color rgb="FFFF0000"/>
      <name val="Arial"/>
      <family val="2"/>
    </font>
    <font>
      <sz val="10"/>
      <color rgb="FFFF0000"/>
      <name val="Arial"/>
      <family val="2"/>
    </font>
    <font>
      <sz val="10"/>
      <color theme="0" tint="-0.499984740745262"/>
      <name val="Arial"/>
      <family val="2"/>
    </font>
    <font>
      <sz val="9"/>
      <color theme="0" tint="-0.499984740745262"/>
      <name val="Arial"/>
      <family val="2"/>
    </font>
    <font>
      <sz val="9"/>
      <color indexed="81"/>
      <name val="Segoe UI"/>
      <charset val="1"/>
    </font>
    <font>
      <b/>
      <sz val="9"/>
      <color indexed="81"/>
      <name val="Segoe UI"/>
      <charset val="1"/>
    </font>
  </fonts>
  <fills count="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9"/>
        <bgColor indexed="26"/>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diagonal/>
    </border>
  </borders>
  <cellStyleXfs count="3">
    <xf numFmtId="0" fontId="0" fillId="0" borderId="0"/>
    <xf numFmtId="0" fontId="8" fillId="0" borderId="0" applyNumberFormat="0" applyFill="0" applyBorder="0" applyAlignment="0" applyProtection="0">
      <alignment vertical="top"/>
      <protection locked="0"/>
    </xf>
    <xf numFmtId="9" fontId="1" fillId="0" borderId="0" applyFont="0" applyFill="0" applyBorder="0" applyAlignment="0" applyProtection="0"/>
  </cellStyleXfs>
  <cellXfs count="202">
    <xf numFmtId="0" fontId="0" fillId="0" borderId="0" xfId="0"/>
    <xf numFmtId="0" fontId="0" fillId="0" borderId="0" xfId="0" applyAlignment="1">
      <alignment wrapText="1"/>
    </xf>
    <xf numFmtId="0" fontId="11" fillId="0" borderId="0" xfId="0" applyFont="1"/>
    <xf numFmtId="3" fontId="11" fillId="0" borderId="0" xfId="0" applyNumberFormat="1" applyFont="1"/>
    <xf numFmtId="3" fontId="11" fillId="0" borderId="0" xfId="0" applyNumberFormat="1" applyFont="1" applyAlignment="1">
      <alignment horizontal="right"/>
    </xf>
    <xf numFmtId="3" fontId="0" fillId="0" borderId="0" xfId="0" applyNumberFormat="1"/>
    <xf numFmtId="3" fontId="4" fillId="0" borderId="0" xfId="0" applyNumberFormat="1" applyFont="1" applyAlignment="1"/>
    <xf numFmtId="3" fontId="4" fillId="0" borderId="0" xfId="0" applyNumberFormat="1" applyFont="1" applyAlignment="1">
      <alignment horizontal="right"/>
    </xf>
    <xf numFmtId="4" fontId="4" fillId="0" borderId="0" xfId="0" applyNumberFormat="1" applyFont="1" applyAlignment="1"/>
    <xf numFmtId="3" fontId="3" fillId="0" borderId="0" xfId="0" applyNumberFormat="1" applyFont="1" applyAlignment="1"/>
    <xf numFmtId="3" fontId="3" fillId="0" borderId="0" xfId="0" applyNumberFormat="1" applyFont="1" applyAlignment="1">
      <alignment horizontal="right"/>
    </xf>
    <xf numFmtId="0" fontId="1" fillId="0" borderId="0" xfId="0" applyFont="1"/>
    <xf numFmtId="165" fontId="1" fillId="0" borderId="0" xfId="0" applyNumberFormat="1" applyFont="1"/>
    <xf numFmtId="165" fontId="1" fillId="0" borderId="1" xfId="0" applyNumberFormat="1" applyFont="1" applyBorder="1"/>
    <xf numFmtId="0" fontId="21" fillId="0" borderId="0" xfId="0" applyFont="1" applyFill="1"/>
    <xf numFmtId="0" fontId="14" fillId="0" borderId="0" xfId="0" applyFont="1" applyFill="1" applyBorder="1" applyAlignment="1">
      <alignment wrapText="1"/>
    </xf>
    <xf numFmtId="0" fontId="1" fillId="0" borderId="0" xfId="0" applyFont="1" applyFill="1"/>
    <xf numFmtId="4" fontId="3" fillId="0" borderId="0" xfId="0" applyNumberFormat="1" applyFont="1" applyFill="1" applyAlignment="1">
      <alignment horizontal="right"/>
    </xf>
    <xf numFmtId="4" fontId="3" fillId="0" borderId="0" xfId="0" applyNumberFormat="1" applyFont="1" applyFill="1" applyAlignment="1">
      <alignment horizontal="center"/>
    </xf>
    <xf numFmtId="0" fontId="14" fillId="0" borderId="0" xfId="0" applyFont="1" applyFill="1" applyBorder="1" applyAlignment="1">
      <alignment horizontal="right" wrapText="1"/>
    </xf>
    <xf numFmtId="3" fontId="13" fillId="0" borderId="0" xfId="1" applyNumberFormat="1" applyFont="1" applyFill="1" applyBorder="1" applyAlignment="1" applyProtection="1">
      <alignment horizontal="left" wrapText="1"/>
    </xf>
    <xf numFmtId="0" fontId="0" fillId="0" borderId="0" xfId="0" applyFill="1"/>
    <xf numFmtId="0" fontId="14" fillId="0" borderId="0" xfId="0" applyFont="1" applyAlignment="1"/>
    <xf numFmtId="0" fontId="0" fillId="0" borderId="0" xfId="0" applyBorder="1" applyAlignment="1">
      <alignment wrapText="1"/>
    </xf>
    <xf numFmtId="0" fontId="14" fillId="0" borderId="2" xfId="0" applyFont="1" applyBorder="1" applyAlignment="1">
      <alignment horizontal="justify" wrapText="1"/>
    </xf>
    <xf numFmtId="0" fontId="1" fillId="0" borderId="2" xfId="0" applyFont="1" applyBorder="1" applyAlignment="1">
      <alignment horizontal="left" wrapText="1"/>
    </xf>
    <xf numFmtId="0" fontId="14" fillId="0" borderId="2" xfId="0" applyFont="1" applyBorder="1" applyAlignment="1">
      <alignment horizontal="left" wrapText="1"/>
    </xf>
    <xf numFmtId="0" fontId="0" fillId="0" borderId="2" xfId="0" applyBorder="1" applyAlignment="1">
      <alignment horizontal="left" wrapText="1"/>
    </xf>
    <xf numFmtId="0" fontId="14" fillId="0" borderId="2" xfId="0" applyFont="1" applyFill="1" applyBorder="1" applyAlignment="1">
      <alignment horizontal="left" wrapText="1"/>
    </xf>
    <xf numFmtId="0" fontId="23" fillId="0" borderId="0" xfId="0" applyFont="1" applyBorder="1" applyAlignment="1">
      <alignment horizontal="left" wrapText="1"/>
    </xf>
    <xf numFmtId="3" fontId="3" fillId="2" borderId="2" xfId="0" applyNumberFormat="1" applyFont="1" applyFill="1" applyBorder="1" applyAlignment="1" applyProtection="1">
      <alignment horizontal="right"/>
      <protection locked="0"/>
    </xf>
    <xf numFmtId="165" fontId="3" fillId="2" borderId="2" xfId="2" applyNumberFormat="1" applyFont="1" applyFill="1" applyBorder="1" applyAlignment="1" applyProtection="1">
      <alignment horizontal="right"/>
      <protection locked="0"/>
    </xf>
    <xf numFmtId="10" fontId="3" fillId="2" borderId="2" xfId="2" applyNumberFormat="1" applyFont="1" applyFill="1" applyBorder="1" applyAlignment="1" applyProtection="1">
      <alignment horizontal="right"/>
      <protection locked="0"/>
    </xf>
    <xf numFmtId="9" fontId="3" fillId="2" borderId="2" xfId="2" applyNumberFormat="1" applyFont="1" applyFill="1" applyBorder="1" applyAlignment="1" applyProtection="1">
      <alignment horizontal="right"/>
      <protection locked="0"/>
    </xf>
    <xf numFmtId="9" fontId="3" fillId="2" borderId="2" xfId="2" applyFont="1" applyFill="1" applyBorder="1" applyAlignment="1" applyProtection="1">
      <alignment horizontal="right"/>
      <protection locked="0"/>
    </xf>
    <xf numFmtId="1" fontId="3" fillId="2" borderId="2" xfId="2" applyNumberFormat="1" applyFont="1" applyFill="1" applyBorder="1" applyAlignment="1" applyProtection="1">
      <alignment horizontal="right"/>
      <protection locked="0"/>
    </xf>
    <xf numFmtId="164" fontId="0" fillId="0" borderId="0" xfId="0" applyNumberFormat="1"/>
    <xf numFmtId="164" fontId="26" fillId="0" borderId="0" xfId="0" applyNumberFormat="1" applyFont="1"/>
    <xf numFmtId="165" fontId="0" fillId="0" borderId="0" xfId="2" applyNumberFormat="1" applyFont="1"/>
    <xf numFmtId="1" fontId="3" fillId="0" borderId="0" xfId="0" applyNumberFormat="1" applyFont="1" applyAlignment="1">
      <alignment horizontal="right"/>
    </xf>
    <xf numFmtId="4" fontId="27" fillId="2" borderId="0" xfId="0" applyNumberFormat="1" applyFont="1" applyFill="1" applyAlignment="1" applyProtection="1">
      <alignment horizontal="center"/>
    </xf>
    <xf numFmtId="3" fontId="27" fillId="2" borderId="0" xfId="0" applyNumberFormat="1" applyFont="1" applyFill="1" applyAlignment="1" applyProtection="1">
      <alignment horizontal="center"/>
    </xf>
    <xf numFmtId="4" fontId="7" fillId="2" borderId="0" xfId="0" applyNumberFormat="1" applyFont="1" applyFill="1" applyAlignment="1" applyProtection="1">
      <alignment horizontal="right"/>
    </xf>
    <xf numFmtId="4" fontId="7" fillId="2" borderId="0" xfId="0" applyNumberFormat="1" applyFont="1" applyFill="1" applyAlignment="1" applyProtection="1">
      <alignment horizontal="center"/>
    </xf>
    <xf numFmtId="4" fontId="3" fillId="2" borderId="0" xfId="0" applyNumberFormat="1" applyFont="1" applyFill="1" applyAlignment="1" applyProtection="1">
      <alignment horizontal="center"/>
    </xf>
    <xf numFmtId="0" fontId="9" fillId="2" borderId="0" xfId="0" applyFont="1" applyFill="1"/>
    <xf numFmtId="0" fontId="14" fillId="2" borderId="0" xfId="0" applyFont="1" applyFill="1"/>
    <xf numFmtId="0" fontId="15" fillId="2" borderId="0" xfId="0" applyFont="1" applyFill="1"/>
    <xf numFmtId="4" fontId="3" fillId="2" borderId="0" xfId="0" applyNumberFormat="1" applyFont="1" applyFill="1" applyAlignment="1">
      <alignment horizontal="right"/>
    </xf>
    <xf numFmtId="4" fontId="3" fillId="2" borderId="0" xfId="0" applyNumberFormat="1" applyFont="1" applyFill="1" applyAlignment="1">
      <alignment horizontal="center"/>
    </xf>
    <xf numFmtId="3" fontId="3" fillId="2" borderId="0" xfId="0" applyNumberFormat="1" applyFont="1" applyFill="1" applyAlignment="1">
      <alignment horizontal="center"/>
    </xf>
    <xf numFmtId="0" fontId="23" fillId="0" borderId="0" xfId="0" applyNumberFormat="1" applyFont="1" applyBorder="1" applyAlignment="1">
      <alignment horizontal="left" wrapText="1"/>
    </xf>
    <xf numFmtId="0" fontId="9" fillId="2" borderId="0" xfId="0" applyFont="1" applyFill="1" applyProtection="1"/>
    <xf numFmtId="0" fontId="9" fillId="2" borderId="0" xfId="0" applyFont="1" applyFill="1" applyAlignment="1" applyProtection="1">
      <alignment horizontal="right"/>
    </xf>
    <xf numFmtId="4" fontId="2" fillId="2" borderId="0" xfId="0" applyNumberFormat="1" applyFont="1" applyFill="1" applyAlignment="1" applyProtection="1">
      <alignment horizontal="right"/>
    </xf>
    <xf numFmtId="4" fontId="2" fillId="2" borderId="0" xfId="0" applyNumberFormat="1" applyFont="1" applyFill="1" applyAlignment="1" applyProtection="1">
      <alignment horizontal="center"/>
    </xf>
    <xf numFmtId="0" fontId="14" fillId="2" borderId="0" xfId="0" applyFont="1" applyFill="1" applyProtection="1"/>
    <xf numFmtId="0" fontId="14" fillId="2" borderId="0" xfId="0" applyFont="1" applyFill="1" applyAlignment="1" applyProtection="1">
      <alignment horizontal="right"/>
    </xf>
    <xf numFmtId="4" fontId="10" fillId="2" borderId="0" xfId="0" applyNumberFormat="1" applyFont="1" applyFill="1" applyAlignment="1" applyProtection="1">
      <alignment horizontal="right"/>
    </xf>
    <xf numFmtId="4" fontId="10" fillId="2" borderId="0" xfId="0" applyNumberFormat="1" applyFont="1" applyFill="1" applyAlignment="1" applyProtection="1">
      <alignment horizontal="center"/>
    </xf>
    <xf numFmtId="0" fontId="0" fillId="2" borderId="0" xfId="0" applyFill="1" applyAlignment="1" applyProtection="1">
      <alignment horizontal="right"/>
    </xf>
    <xf numFmtId="0" fontId="0" fillId="2" borderId="0" xfId="0" applyFill="1" applyProtection="1"/>
    <xf numFmtId="4" fontId="28" fillId="2" borderId="0" xfId="0" applyNumberFormat="1" applyFont="1" applyFill="1" applyAlignment="1" applyProtection="1">
      <alignment horizontal="right"/>
    </xf>
    <xf numFmtId="4" fontId="28" fillId="2" borderId="0" xfId="0" applyNumberFormat="1" applyFont="1" applyFill="1" applyAlignment="1" applyProtection="1">
      <alignment horizontal="center"/>
    </xf>
    <xf numFmtId="3" fontId="16" fillId="2" borderId="0" xfId="0" applyNumberFormat="1" applyFont="1" applyFill="1" applyAlignment="1" applyProtection="1">
      <alignment horizontal="left"/>
    </xf>
    <xf numFmtId="4" fontId="17" fillId="2" borderId="0" xfId="0" applyNumberFormat="1" applyFont="1" applyFill="1" applyAlignment="1" applyProtection="1">
      <alignment horizontal="right"/>
    </xf>
    <xf numFmtId="4" fontId="17" fillId="2" borderId="0" xfId="0" applyNumberFormat="1" applyFont="1" applyFill="1" applyAlignment="1" applyProtection="1">
      <alignment horizontal="center"/>
    </xf>
    <xf numFmtId="3" fontId="4" fillId="2" borderId="0" xfId="0" applyNumberFormat="1" applyFont="1" applyFill="1" applyAlignment="1" applyProtection="1">
      <alignment horizontal="left"/>
    </xf>
    <xf numFmtId="4" fontId="6" fillId="2" borderId="0" xfId="0" applyNumberFormat="1" applyFont="1" applyFill="1" applyAlignment="1" applyProtection="1">
      <alignment horizontal="right"/>
    </xf>
    <xf numFmtId="4" fontId="6" fillId="2" borderId="0" xfId="0" applyNumberFormat="1" applyFont="1" applyFill="1" applyAlignment="1" applyProtection="1">
      <alignment horizontal="center"/>
    </xf>
    <xf numFmtId="4" fontId="4" fillId="2" borderId="0" xfId="0" applyNumberFormat="1" applyFont="1" applyFill="1" applyAlignment="1" applyProtection="1">
      <alignment horizontal="left"/>
    </xf>
    <xf numFmtId="4" fontId="10" fillId="2" borderId="0" xfId="0" applyNumberFormat="1" applyFont="1" applyFill="1" applyAlignment="1" applyProtection="1">
      <alignment horizontal="left"/>
    </xf>
    <xf numFmtId="3" fontId="4" fillId="2" borderId="0" xfId="2" applyNumberFormat="1" applyFont="1" applyFill="1" applyAlignment="1" applyProtection="1">
      <alignment horizontal="right"/>
    </xf>
    <xf numFmtId="3" fontId="3" fillId="2" borderId="0" xfId="0" applyNumberFormat="1" applyFont="1" applyFill="1" applyAlignment="1" applyProtection="1">
      <alignment horizontal="left"/>
    </xf>
    <xf numFmtId="4" fontId="3" fillId="2" borderId="0" xfId="0" applyNumberFormat="1" applyFont="1" applyFill="1" applyAlignment="1" applyProtection="1">
      <alignment horizontal="left"/>
    </xf>
    <xf numFmtId="4" fontId="3" fillId="2" borderId="0" xfId="0" applyNumberFormat="1" applyFont="1" applyFill="1" applyAlignment="1" applyProtection="1">
      <alignment horizontal="right"/>
    </xf>
    <xf numFmtId="4" fontId="25" fillId="2" borderId="0" xfId="0" applyNumberFormat="1" applyFont="1" applyFill="1" applyAlignment="1" applyProtection="1">
      <alignment horizontal="left"/>
    </xf>
    <xf numFmtId="4" fontId="25" fillId="2" borderId="0" xfId="0" applyNumberFormat="1" applyFont="1" applyFill="1" applyAlignment="1" applyProtection="1">
      <alignment horizontal="center"/>
    </xf>
    <xf numFmtId="3" fontId="3" fillId="2" borderId="0" xfId="0" applyNumberFormat="1" applyFont="1" applyFill="1" applyAlignment="1" applyProtection="1">
      <alignment horizontal="right"/>
    </xf>
    <xf numFmtId="4" fontId="6" fillId="2" borderId="0" xfId="0" applyNumberFormat="1" applyFont="1" applyFill="1" applyAlignment="1" applyProtection="1">
      <alignment horizontal="left"/>
    </xf>
    <xf numFmtId="165" fontId="3" fillId="2" borderId="0" xfId="0" applyNumberFormat="1" applyFont="1" applyFill="1" applyAlignment="1">
      <alignment horizontal="right"/>
    </xf>
    <xf numFmtId="168" fontId="12" fillId="2" borderId="0" xfId="0" applyNumberFormat="1" applyFont="1" applyFill="1" applyAlignment="1" applyProtection="1">
      <alignment horizontal="right"/>
    </xf>
    <xf numFmtId="3" fontId="7" fillId="2" borderId="0" xfId="0" applyNumberFormat="1" applyFont="1" applyFill="1" applyAlignment="1" applyProtection="1">
      <alignment horizontal="left"/>
    </xf>
    <xf numFmtId="4" fontId="8" fillId="2" borderId="0" xfId="1" applyNumberFormat="1" applyFill="1" applyAlignment="1" applyProtection="1">
      <alignment horizontal="left"/>
    </xf>
    <xf numFmtId="4" fontId="7" fillId="2" borderId="0" xfId="0" applyNumberFormat="1" applyFont="1" applyFill="1" applyAlignment="1" applyProtection="1">
      <alignment horizontal="left"/>
    </xf>
    <xf numFmtId="4" fontId="28" fillId="2" borderId="0" xfId="0" applyNumberFormat="1" applyFont="1" applyFill="1" applyAlignment="1" applyProtection="1">
      <alignment horizontal="left"/>
    </xf>
    <xf numFmtId="165" fontId="5" fillId="2" borderId="0" xfId="2" applyNumberFormat="1" applyFont="1" applyFill="1" applyBorder="1" applyAlignment="1" applyProtection="1">
      <alignment horizontal="right"/>
    </xf>
    <xf numFmtId="167" fontId="4" fillId="2" borderId="0" xfId="2" applyNumberFormat="1" applyFont="1" applyFill="1" applyBorder="1" applyAlignment="1" applyProtection="1">
      <alignment horizontal="right"/>
    </xf>
    <xf numFmtId="3" fontId="4" fillId="2" borderId="0" xfId="2" applyNumberFormat="1" applyFont="1" applyFill="1" applyBorder="1" applyAlignment="1" applyProtection="1">
      <alignment horizontal="right"/>
    </xf>
    <xf numFmtId="0" fontId="0" fillId="0" borderId="0" xfId="0" applyAlignment="1">
      <alignment horizontal="right"/>
    </xf>
    <xf numFmtId="4" fontId="29" fillId="3" borderId="0" xfId="0" applyNumberFormat="1" applyFont="1" applyFill="1" applyAlignment="1" applyProtection="1">
      <alignment horizontal="left"/>
    </xf>
    <xf numFmtId="4" fontId="7" fillId="3" borderId="0" xfId="0" applyNumberFormat="1" applyFont="1" applyFill="1" applyAlignment="1" applyProtection="1">
      <alignment horizontal="right"/>
    </xf>
    <xf numFmtId="0" fontId="14" fillId="0" borderId="0" xfId="0" applyFont="1"/>
    <xf numFmtId="3" fontId="14" fillId="0" borderId="0" xfId="0" applyNumberFormat="1" applyFont="1" applyAlignment="1">
      <alignment horizontal="right"/>
    </xf>
    <xf numFmtId="4" fontId="4" fillId="2" borderId="0" xfId="0" applyNumberFormat="1" applyFont="1" applyFill="1" applyAlignment="1">
      <alignment horizontal="right"/>
    </xf>
    <xf numFmtId="4" fontId="4" fillId="2" borderId="0" xfId="0" applyNumberFormat="1" applyFont="1" applyFill="1" applyAlignment="1">
      <alignment horizontal="center"/>
    </xf>
    <xf numFmtId="3" fontId="4" fillId="2" borderId="0" xfId="0" applyNumberFormat="1" applyFont="1" applyFill="1" applyAlignment="1">
      <alignment horizontal="center"/>
    </xf>
    <xf numFmtId="3" fontId="3" fillId="2" borderId="0" xfId="0" applyNumberFormat="1" applyFont="1" applyFill="1" applyBorder="1" applyAlignment="1" applyProtection="1">
      <alignment horizontal="right"/>
    </xf>
    <xf numFmtId="4" fontId="2" fillId="3" borderId="0" xfId="0" applyNumberFormat="1" applyFont="1" applyFill="1" applyAlignment="1" applyProtection="1">
      <alignment horizontal="center"/>
    </xf>
    <xf numFmtId="0" fontId="11" fillId="0" borderId="0" xfId="0" applyFont="1" applyFill="1" applyBorder="1"/>
    <xf numFmtId="0" fontId="14" fillId="0" borderId="0" xfId="0" applyFont="1" applyFill="1" applyBorder="1"/>
    <xf numFmtId="3" fontId="11" fillId="0" borderId="0" xfId="0" applyNumberFormat="1" applyFont="1" applyFill="1" applyBorder="1"/>
    <xf numFmtId="4" fontId="14" fillId="0" borderId="0" xfId="0" applyNumberFormat="1" applyFont="1" applyFill="1" applyBorder="1" applyAlignment="1">
      <alignment horizontal="center"/>
    </xf>
    <xf numFmtId="4" fontId="15" fillId="0" borderId="0" xfId="0" applyNumberFormat="1" applyFont="1" applyFill="1" applyBorder="1" applyAlignment="1">
      <alignment horizontal="center"/>
    </xf>
    <xf numFmtId="4" fontId="14" fillId="0" borderId="0" xfId="0" applyNumberFormat="1" applyFont="1" applyFill="1" applyBorder="1" applyAlignment="1"/>
    <xf numFmtId="4" fontId="14" fillId="0" borderId="0" xfId="0" applyNumberFormat="1" applyFont="1" applyFill="1" applyBorder="1" applyAlignment="1">
      <alignment horizontal="left"/>
    </xf>
    <xf numFmtId="3" fontId="3" fillId="0" borderId="1" xfId="0" applyNumberFormat="1" applyFont="1" applyBorder="1" applyAlignment="1">
      <alignment horizontal="right"/>
    </xf>
    <xf numFmtId="1" fontId="3" fillId="0" borderId="1" xfId="0" applyNumberFormat="1" applyFont="1" applyBorder="1" applyAlignment="1">
      <alignment horizontal="right"/>
    </xf>
    <xf numFmtId="3" fontId="3" fillId="0" borderId="1" xfId="0" applyNumberFormat="1" applyFont="1" applyBorder="1" applyAlignment="1"/>
    <xf numFmtId="9" fontId="19" fillId="0" borderId="0" xfId="2" applyFont="1" applyAlignment="1"/>
    <xf numFmtId="0" fontId="15" fillId="0" borderId="0" xfId="0" applyFont="1"/>
    <xf numFmtId="3" fontId="15" fillId="0" borderId="0" xfId="0" applyNumberFormat="1" applyFont="1"/>
    <xf numFmtId="3" fontId="1" fillId="0" borderId="0" xfId="0" applyNumberFormat="1" applyFont="1"/>
    <xf numFmtId="3" fontId="1" fillId="0" borderId="0" xfId="0" applyNumberFormat="1" applyFont="1" applyAlignment="1">
      <alignment horizontal="right"/>
    </xf>
    <xf numFmtId="3" fontId="1" fillId="0" borderId="0" xfId="0" applyNumberFormat="1" applyFont="1" applyBorder="1"/>
    <xf numFmtId="0" fontId="1" fillId="0" borderId="0" xfId="0" applyFont="1" applyFill="1" applyBorder="1"/>
    <xf numFmtId="0" fontId="1" fillId="0" borderId="1" xfId="0" applyFont="1" applyBorder="1"/>
    <xf numFmtId="3" fontId="1" fillId="0" borderId="1" xfId="0" applyNumberFormat="1" applyFont="1" applyBorder="1"/>
    <xf numFmtId="3" fontId="1" fillId="0" borderId="1" xfId="0" applyNumberFormat="1" applyFont="1" applyBorder="1" applyAlignment="1">
      <alignment horizontal="right"/>
    </xf>
    <xf numFmtId="165" fontId="1" fillId="0" borderId="1" xfId="2" applyNumberFormat="1" applyFont="1" applyBorder="1"/>
    <xf numFmtId="3" fontId="11" fillId="0" borderId="0" xfId="0" quotePrefix="1" applyNumberFormat="1" applyFont="1"/>
    <xf numFmtId="3" fontId="31" fillId="0" borderId="0" xfId="0" quotePrefix="1" applyNumberFormat="1" applyFont="1"/>
    <xf numFmtId="4" fontId="32" fillId="2" borderId="0" xfId="0" applyNumberFormat="1" applyFont="1" applyFill="1" applyAlignment="1" applyProtection="1">
      <alignment horizontal="left"/>
    </xf>
    <xf numFmtId="4" fontId="30" fillId="2" borderId="0" xfId="0" applyNumberFormat="1" applyFont="1" applyFill="1" applyAlignment="1" applyProtection="1">
      <alignment horizontal="left"/>
    </xf>
    <xf numFmtId="4" fontId="32" fillId="2" borderId="0" xfId="0" quotePrefix="1" applyNumberFormat="1" applyFont="1" applyFill="1" applyAlignment="1" applyProtection="1">
      <alignment horizontal="left"/>
    </xf>
    <xf numFmtId="0" fontId="11" fillId="0" borderId="0" xfId="0" quotePrefix="1" applyFont="1" applyAlignment="1">
      <alignment horizontal="right"/>
    </xf>
    <xf numFmtId="0" fontId="11" fillId="0" borderId="0" xfId="0" applyFont="1" applyAlignment="1">
      <alignment horizontal="right"/>
    </xf>
    <xf numFmtId="3" fontId="30" fillId="2" borderId="0" xfId="0" applyNumberFormat="1" applyFont="1" applyFill="1" applyAlignment="1" applyProtection="1">
      <alignment horizontal="left"/>
    </xf>
    <xf numFmtId="3" fontId="31" fillId="2" borderId="0" xfId="0" applyNumberFormat="1" applyFont="1" applyFill="1" applyAlignment="1" applyProtection="1">
      <alignment horizontal="left"/>
    </xf>
    <xf numFmtId="3" fontId="31" fillId="0" borderId="0" xfId="0" applyNumberFormat="1" applyFont="1"/>
    <xf numFmtId="3" fontId="14" fillId="0" borderId="1" xfId="0" applyNumberFormat="1" applyFont="1" applyBorder="1" applyAlignment="1">
      <alignment horizontal="right"/>
    </xf>
    <xf numFmtId="9" fontId="15" fillId="2" borderId="0" xfId="2" applyFont="1" applyFill="1"/>
    <xf numFmtId="0" fontId="1" fillId="2" borderId="0" xfId="0" applyFont="1" applyFill="1"/>
    <xf numFmtId="4" fontId="3" fillId="2" borderId="0" xfId="0" applyNumberFormat="1" applyFont="1" applyFill="1" applyBorder="1" applyAlignment="1" applyProtection="1">
      <alignment horizontal="right"/>
      <protection locked="0"/>
    </xf>
    <xf numFmtId="1" fontId="3" fillId="4" borderId="3" xfId="2" applyNumberFormat="1" applyFont="1" applyFill="1" applyBorder="1" applyAlignment="1" applyProtection="1">
      <alignment horizontal="right"/>
      <protection locked="0"/>
    </xf>
    <xf numFmtId="168" fontId="7" fillId="2" borderId="0" xfId="0" applyNumberFormat="1" applyFont="1" applyFill="1" applyAlignment="1" applyProtection="1">
      <alignment horizontal="right"/>
    </xf>
    <xf numFmtId="4" fontId="20" fillId="2" borderId="0" xfId="0" applyNumberFormat="1" applyFont="1" applyFill="1" applyAlignment="1" applyProtection="1">
      <alignment horizontal="right"/>
    </xf>
    <xf numFmtId="3" fontId="27" fillId="2" borderId="0" xfId="0" applyNumberFormat="1" applyFont="1" applyFill="1" applyAlignment="1" applyProtection="1"/>
    <xf numFmtId="170" fontId="27" fillId="2" borderId="0" xfId="0" applyNumberFormat="1" applyFont="1" applyFill="1" applyAlignment="1" applyProtection="1">
      <alignment horizontal="right"/>
    </xf>
    <xf numFmtId="2" fontId="15" fillId="2" borderId="0" xfId="0" applyNumberFormat="1" applyFont="1" applyFill="1"/>
    <xf numFmtId="0" fontId="9" fillId="2" borderId="0" xfId="0" applyFont="1" applyFill="1" applyAlignment="1" applyProtection="1">
      <alignment horizontal="left"/>
    </xf>
    <xf numFmtId="0" fontId="14" fillId="2" borderId="0" xfId="0" applyFont="1" applyFill="1" applyAlignment="1" applyProtection="1">
      <alignment horizontal="left"/>
    </xf>
    <xf numFmtId="0" fontId="0" fillId="2" borderId="0" xfId="0" applyFill="1" applyAlignment="1" applyProtection="1">
      <alignment horizontal="left"/>
    </xf>
    <xf numFmtId="4" fontId="17" fillId="2" borderId="0" xfId="0" applyNumberFormat="1" applyFont="1" applyFill="1" applyAlignment="1" applyProtection="1">
      <alignment horizontal="left"/>
    </xf>
    <xf numFmtId="165" fontId="3" fillId="2" borderId="0" xfId="2" applyNumberFormat="1" applyFont="1" applyFill="1" applyAlignment="1" applyProtection="1">
      <alignment horizontal="left"/>
    </xf>
    <xf numFmtId="0" fontId="8" fillId="2" borderId="0" xfId="1" applyFill="1" applyAlignment="1" applyProtection="1">
      <alignment horizontal="left"/>
    </xf>
    <xf numFmtId="4" fontId="7" fillId="3" borderId="0" xfId="0" applyNumberFormat="1" applyFont="1" applyFill="1" applyAlignment="1" applyProtection="1">
      <alignment horizontal="left"/>
    </xf>
    <xf numFmtId="4" fontId="36" fillId="2" borderId="0" xfId="0" applyNumberFormat="1" applyFont="1" applyFill="1" applyAlignment="1" applyProtection="1">
      <alignment horizontal="right"/>
    </xf>
    <xf numFmtId="3" fontId="25" fillId="2" borderId="0" xfId="0" applyNumberFormat="1" applyFont="1" applyFill="1" applyAlignment="1" applyProtection="1">
      <alignment horizontal="right"/>
    </xf>
    <xf numFmtId="9" fontId="3" fillId="2" borderId="0" xfId="2" applyFont="1" applyFill="1" applyAlignment="1" applyProtection="1">
      <alignment horizontal="right"/>
    </xf>
    <xf numFmtId="3" fontId="6" fillId="2" borderId="0" xfId="0" applyNumberFormat="1" applyFont="1" applyFill="1" applyAlignment="1" applyProtection="1">
      <alignment horizontal="right"/>
    </xf>
    <xf numFmtId="9" fontId="3" fillId="2" borderId="0" xfId="0" applyNumberFormat="1" applyFont="1" applyFill="1" applyAlignment="1">
      <alignment horizontal="right"/>
    </xf>
    <xf numFmtId="4" fontId="1" fillId="2" borderId="0" xfId="0" applyNumberFormat="1" applyFont="1" applyFill="1" applyAlignment="1" applyProtection="1">
      <alignment horizontal="right"/>
    </xf>
    <xf numFmtId="168" fontId="36" fillId="0" borderId="1" xfId="0" applyNumberFormat="1" applyFont="1" applyFill="1" applyBorder="1" applyAlignment="1" applyProtection="1">
      <alignment horizontal="right"/>
    </xf>
    <xf numFmtId="165" fontId="36" fillId="0" borderId="0" xfId="2" applyNumberFormat="1" applyFont="1"/>
    <xf numFmtId="3" fontId="36" fillId="0" borderId="0" xfId="0" applyNumberFormat="1" applyFont="1" applyAlignment="1">
      <alignment horizontal="right"/>
    </xf>
    <xf numFmtId="164" fontId="37" fillId="0" borderId="0" xfId="0" applyNumberFormat="1" applyFont="1"/>
    <xf numFmtId="9" fontId="0" fillId="0" borderId="0" xfId="2" applyFont="1"/>
    <xf numFmtId="4" fontId="14" fillId="0" borderId="0" xfId="0" applyNumberFormat="1" applyFont="1" applyFill="1" applyBorder="1" applyAlignment="1">
      <alignment horizontal="right"/>
    </xf>
    <xf numFmtId="3" fontId="14" fillId="0" borderId="0" xfId="0" applyNumberFormat="1" applyFont="1" applyFill="1" applyBorder="1" applyAlignment="1">
      <alignment horizontal="right"/>
    </xf>
    <xf numFmtId="0" fontId="11" fillId="0" borderId="0" xfId="0" applyFont="1" applyFill="1" applyBorder="1" applyAlignment="1">
      <alignment horizontal="right"/>
    </xf>
    <xf numFmtId="3" fontId="11" fillId="0" borderId="0" xfId="0" applyNumberFormat="1" applyFont="1" applyFill="1" applyBorder="1" applyAlignment="1">
      <alignment horizontal="right"/>
    </xf>
    <xf numFmtId="3" fontId="1" fillId="0" borderId="0" xfId="0" applyNumberFormat="1" applyFont="1" applyFill="1" applyBorder="1" applyAlignment="1">
      <alignment horizontal="right"/>
    </xf>
    <xf numFmtId="3" fontId="36" fillId="2" borderId="0" xfId="2" applyNumberFormat="1" applyFont="1" applyFill="1" applyBorder="1" applyAlignment="1" applyProtection="1">
      <alignment horizontal="right"/>
    </xf>
    <xf numFmtId="9" fontId="3" fillId="0" borderId="0" xfId="2" applyFont="1" applyAlignment="1">
      <alignment horizontal="right"/>
    </xf>
    <xf numFmtId="9" fontId="3" fillId="0" borderId="1" xfId="2" applyFont="1" applyBorder="1" applyAlignment="1">
      <alignment horizontal="right"/>
    </xf>
    <xf numFmtId="3" fontId="1" fillId="0" borderId="0" xfId="0" applyNumberFormat="1" applyFont="1" applyAlignment="1"/>
    <xf numFmtId="3" fontId="16" fillId="2" borderId="0" xfId="0" applyNumberFormat="1" applyFont="1" applyFill="1" applyAlignment="1" applyProtection="1">
      <alignment horizontal="right"/>
    </xf>
    <xf numFmtId="4" fontId="16" fillId="2" borderId="0" xfId="0" applyNumberFormat="1" applyFont="1" applyFill="1" applyAlignment="1" applyProtection="1">
      <alignment horizontal="right"/>
    </xf>
    <xf numFmtId="4" fontId="16" fillId="2" borderId="0" xfId="0" applyNumberFormat="1" applyFont="1" applyFill="1" applyAlignment="1" applyProtection="1">
      <alignment horizontal="left"/>
    </xf>
    <xf numFmtId="4" fontId="16" fillId="2" borderId="0" xfId="0" applyNumberFormat="1" applyFont="1" applyFill="1" applyAlignment="1" applyProtection="1">
      <alignment horizontal="center"/>
    </xf>
    <xf numFmtId="4" fontId="4" fillId="0" borderId="1" xfId="0" applyNumberFormat="1" applyFont="1" applyBorder="1" applyAlignment="1"/>
    <xf numFmtId="3" fontId="4" fillId="0" borderId="1" xfId="0" applyNumberFormat="1" applyFont="1" applyBorder="1" applyAlignment="1"/>
    <xf numFmtId="3" fontId="14" fillId="0" borderId="1" xfId="0" applyNumberFormat="1" applyFont="1" applyBorder="1" applyAlignment="1"/>
    <xf numFmtId="0" fontId="38" fillId="0" borderId="0" xfId="0" applyFont="1"/>
    <xf numFmtId="169" fontId="38" fillId="0" borderId="0" xfId="0" applyNumberFormat="1" applyFont="1"/>
    <xf numFmtId="167" fontId="3" fillId="2" borderId="0" xfId="0" applyNumberFormat="1" applyFont="1" applyFill="1" applyAlignment="1" applyProtection="1">
      <alignment horizontal="right"/>
    </xf>
    <xf numFmtId="167" fontId="1" fillId="2" borderId="0" xfId="0" applyNumberFormat="1" applyFont="1" applyFill="1" applyAlignment="1" applyProtection="1">
      <alignment horizontal="right"/>
    </xf>
    <xf numFmtId="1" fontId="39" fillId="2" borderId="0" xfId="0" applyNumberFormat="1" applyFont="1" applyFill="1" applyAlignment="1" applyProtection="1">
      <alignment horizontal="right"/>
    </xf>
    <xf numFmtId="166" fontId="3" fillId="0" borderId="3" xfId="0" applyNumberFormat="1" applyFont="1" applyFill="1" applyBorder="1" applyAlignment="1" applyProtection="1">
      <alignment horizontal="right"/>
      <protection locked="0"/>
    </xf>
    <xf numFmtId="3" fontId="3" fillId="0" borderId="3" xfId="0" applyNumberFormat="1" applyFont="1" applyFill="1" applyBorder="1" applyAlignment="1" applyProtection="1">
      <alignment horizontal="right"/>
      <protection locked="0"/>
    </xf>
    <xf numFmtId="3" fontId="0" fillId="0" borderId="3" xfId="0" applyNumberFormat="1" applyFont="1" applyFill="1" applyBorder="1" applyAlignment="1" applyProtection="1">
      <alignment horizontal="right"/>
      <protection locked="0"/>
    </xf>
    <xf numFmtId="10" fontId="3" fillId="0" borderId="3" xfId="2" applyNumberFormat="1" applyFont="1" applyFill="1" applyBorder="1" applyAlignment="1" applyProtection="1">
      <alignment horizontal="right"/>
      <protection locked="0"/>
    </xf>
    <xf numFmtId="9" fontId="3" fillId="0" borderId="3" xfId="2" applyNumberFormat="1" applyFont="1" applyFill="1" applyBorder="1" applyAlignment="1" applyProtection="1">
      <alignment horizontal="right"/>
      <protection locked="0"/>
    </xf>
    <xf numFmtId="9" fontId="3" fillId="0" borderId="3" xfId="2" applyFont="1" applyFill="1" applyBorder="1" applyAlignment="1" applyProtection="1">
      <alignment horizontal="right"/>
      <protection locked="0"/>
    </xf>
    <xf numFmtId="165" fontId="3" fillId="0" borderId="3" xfId="2" applyNumberFormat="1" applyFont="1" applyFill="1" applyBorder="1" applyAlignment="1" applyProtection="1">
      <alignment horizontal="right"/>
      <protection locked="0"/>
    </xf>
    <xf numFmtId="1" fontId="3" fillId="0" borderId="3" xfId="2" applyNumberFormat="1" applyFont="1" applyFill="1" applyBorder="1" applyAlignment="1" applyProtection="1">
      <alignment horizontal="right"/>
      <protection locked="0"/>
    </xf>
    <xf numFmtId="165" fontId="3" fillId="0" borderId="2" xfId="2" applyNumberFormat="1" applyFont="1" applyFill="1" applyBorder="1" applyAlignment="1" applyProtection="1">
      <alignment horizontal="right"/>
      <protection locked="0"/>
    </xf>
    <xf numFmtId="167" fontId="3" fillId="0" borderId="2" xfId="0" applyNumberFormat="1" applyFont="1" applyFill="1" applyBorder="1" applyAlignment="1" applyProtection="1">
      <alignment horizontal="right"/>
      <protection locked="0"/>
    </xf>
    <xf numFmtId="0" fontId="1" fillId="2" borderId="0" xfId="0" applyFont="1" applyFill="1" applyProtection="1"/>
    <xf numFmtId="0" fontId="1" fillId="0" borderId="0" xfId="0" applyFont="1" applyAlignment="1">
      <alignment wrapText="1"/>
    </xf>
    <xf numFmtId="9" fontId="1" fillId="2" borderId="0" xfId="2" applyFont="1" applyFill="1"/>
    <xf numFmtId="4" fontId="1" fillId="0" borderId="0" xfId="0" applyNumberFormat="1" applyFont="1" applyFill="1" applyBorder="1" applyAlignment="1">
      <alignment horizontal="center"/>
    </xf>
    <xf numFmtId="3" fontId="14" fillId="0" borderId="0" xfId="0" applyNumberFormat="1" applyFont="1" applyAlignment="1"/>
    <xf numFmtId="3" fontId="14" fillId="0" borderId="0" xfId="0" applyNumberFormat="1" applyFont="1"/>
    <xf numFmtId="9" fontId="36" fillId="2" borderId="0" xfId="2" applyFont="1" applyFill="1" applyBorder="1" applyAlignment="1" applyProtection="1">
      <alignment horizontal="right"/>
    </xf>
    <xf numFmtId="9" fontId="36" fillId="0" borderId="0" xfId="2" applyFont="1" applyFill="1" applyBorder="1" applyAlignment="1">
      <alignment horizontal="right"/>
    </xf>
    <xf numFmtId="167" fontId="7" fillId="2" borderId="0" xfId="0" applyNumberFormat="1" applyFont="1" applyFill="1" applyAlignment="1" applyProtection="1">
      <alignment horizontal="center"/>
    </xf>
    <xf numFmtId="169" fontId="3" fillId="2" borderId="2" xfId="2" applyNumberFormat="1" applyFont="1" applyFill="1" applyBorder="1" applyAlignment="1" applyProtection="1">
      <alignment horizontal="right"/>
      <protection locked="0"/>
    </xf>
    <xf numFmtId="3" fontId="3" fillId="2" borderId="0" xfId="0" applyNumberFormat="1" applyFont="1" applyFill="1" applyBorder="1" applyAlignment="1" applyProtection="1">
      <alignment horizontal="left" wrapText="1"/>
    </xf>
    <xf numFmtId="4" fontId="3" fillId="2" borderId="0" xfId="0" applyNumberFormat="1" applyFont="1" applyFill="1" applyBorder="1" applyAlignment="1" applyProtection="1">
      <alignment horizontal="left"/>
    </xf>
    <xf numFmtId="3" fontId="4" fillId="0" borderId="4" xfId="0" applyNumberFormat="1" applyFont="1" applyBorder="1" applyAlignment="1">
      <alignment horizontal="right"/>
    </xf>
  </cellXfs>
  <cellStyles count="3">
    <cellStyle name="Link" xfId="1" builtinId="8"/>
    <cellStyle name="Prozent" xfId="2" builtinId="5"/>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customXml" Target="../customXml/item1.xml"/><Relationship Id="rId5" Type="http://schemas.openxmlformats.org/officeDocument/2006/relationships/worksheet" Target="worksheets/sheet4.xml"/><Relationship Id="rId10" Type="http://schemas.openxmlformats.org/officeDocument/2006/relationships/calcChain" Target="calcChain.xml"/><Relationship Id="rId4" Type="http://schemas.openxmlformats.org/officeDocument/2006/relationships/chartsheet" Target="chartsheets/sheet1.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manualLayout>
          <c:layoutTarget val="inner"/>
          <c:xMode val="edge"/>
          <c:yMode val="edge"/>
          <c:x val="0.14844162704701533"/>
          <c:y val="5.3435114503816793E-2"/>
          <c:w val="0.83571051241415739"/>
          <c:h val="0.80336199663021657"/>
        </c:manualLayout>
      </c:layout>
      <c:barChart>
        <c:barDir val="col"/>
        <c:grouping val="clustered"/>
        <c:varyColors val="0"/>
        <c:ser>
          <c:idx val="1"/>
          <c:order val="0"/>
          <c:spPr>
            <a:solidFill>
              <a:srgbClr val="C0C0C0"/>
            </a:solidFill>
            <a:ln w="25400">
              <a:noFill/>
            </a:ln>
          </c:spPr>
          <c:invertIfNegative val="0"/>
          <c:cat>
            <c:numRef>
              <c:f>Berechnung!$A$7:$A$28</c:f>
              <c:numCache>
                <c:formatCode>#,##0</c:formatCode>
                <c:ptCount val="22"/>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pt idx="17">
                  <c:v>16</c:v>
                </c:pt>
                <c:pt idx="18">
                  <c:v>17</c:v>
                </c:pt>
                <c:pt idx="19">
                  <c:v>18</c:v>
                </c:pt>
                <c:pt idx="20">
                  <c:v>19</c:v>
                </c:pt>
                <c:pt idx="21">
                  <c:v>20</c:v>
                </c:pt>
              </c:numCache>
            </c:numRef>
          </c:cat>
          <c:val>
            <c:numRef>
              <c:f>Berechnung!$P$7:$P$28</c:f>
              <c:numCache>
                <c:formatCode>#,##0</c:formatCode>
                <c:ptCount val="22"/>
                <c:pt idx="1">
                  <c:v>-15816.781204999999</c:v>
                </c:pt>
                <c:pt idx="2">
                  <c:v>-14413.380654044076</c:v>
                </c:pt>
                <c:pt idx="3">
                  <c:v>-13045.702706923395</c:v>
                </c:pt>
                <c:pt idx="4">
                  <c:v>-11936.743642179423</c:v>
                </c:pt>
                <c:pt idx="5">
                  <c:v>-10854.33010198493</c:v>
                </c:pt>
                <c:pt idx="6">
                  <c:v>-9797.7373950673573</c:v>
                </c:pt>
                <c:pt idx="7">
                  <c:v>-8766.2624413687881</c:v>
                </c:pt>
                <c:pt idx="8">
                  <c:v>-7759.2230967902269</c:v>
                </c:pt>
                <c:pt idx="9">
                  <c:v>-6775.9574994929771</c:v>
                </c:pt>
                <c:pt idx="10">
                  <c:v>-5815.8234370625578</c:v>
                </c:pt>
                <c:pt idx="11">
                  <c:v>-7599.3367244965339</c:v>
                </c:pt>
                <c:pt idx="12">
                  <c:v>-6683.6146485649933</c:v>
                </c:pt>
                <c:pt idx="13">
                  <c:v>-5789.2093374166034</c:v>
                </c:pt>
                <c:pt idx="14">
                  <c:v>-4915.5512421515732</c:v>
                </c:pt>
                <c:pt idx="15">
                  <c:v>-4062.0875892744921</c:v>
                </c:pt>
                <c:pt idx="16">
                  <c:v>-3228.2818596559141</c:v>
                </c:pt>
                <c:pt idx="17">
                  <c:v>-2413.6132840843593</c:v>
                </c:pt>
                <c:pt idx="18">
                  <c:v>-1617.5763548747841</c:v>
                </c:pt>
                <c:pt idx="19">
                  <c:v>-839.68035301681618</c:v>
                </c:pt>
                <c:pt idx="20">
                  <c:v>-79.448890362759016</c:v>
                </c:pt>
                <c:pt idx="21">
                  <c:v>663.58053362845965</c:v>
                </c:pt>
              </c:numCache>
            </c:numRef>
          </c:val>
          <c:extLst>
            <c:ext xmlns:c16="http://schemas.microsoft.com/office/drawing/2014/chart" uri="{C3380CC4-5D6E-409C-BE32-E72D297353CC}">
              <c16:uniqueId val="{00000000-EC8C-43E3-B291-ABAC155912FF}"/>
            </c:ext>
          </c:extLst>
        </c:ser>
        <c:dLbls>
          <c:showLegendKey val="0"/>
          <c:showVal val="0"/>
          <c:showCatName val="0"/>
          <c:showSerName val="0"/>
          <c:showPercent val="0"/>
          <c:showBubbleSize val="0"/>
        </c:dLbls>
        <c:gapWidth val="150"/>
        <c:axId val="762938127"/>
        <c:axId val="1"/>
      </c:barChart>
      <c:catAx>
        <c:axId val="762938127"/>
        <c:scaling>
          <c:orientation val="minMax"/>
        </c:scaling>
        <c:delete val="0"/>
        <c:axPos val="b"/>
        <c:title>
          <c:tx>
            <c:rich>
              <a:bodyPr/>
              <a:lstStyle/>
              <a:p>
                <a:pPr>
                  <a:defRPr sz="1150" b="0" i="0" u="none" strike="noStrike" baseline="0">
                    <a:solidFill>
                      <a:srgbClr val="000000"/>
                    </a:solidFill>
                    <a:latin typeface="Arial"/>
                    <a:ea typeface="Arial"/>
                    <a:cs typeface="Arial"/>
                  </a:defRPr>
                </a:pPr>
                <a:r>
                  <a:rPr lang="de-DE"/>
                  <a:t>Zeit [Jahre]</a:t>
                </a:r>
              </a:p>
            </c:rich>
          </c:tx>
          <c:layout>
            <c:manualLayout>
              <c:xMode val="edge"/>
              <c:yMode val="edge"/>
              <c:x val="0.50554691757032744"/>
              <c:y val="0.92544756332939304"/>
            </c:manualLayout>
          </c:layout>
          <c:overlay val="0"/>
          <c:spPr>
            <a:noFill/>
            <a:ln w="25400">
              <a:noFill/>
            </a:ln>
          </c:spPr>
        </c:title>
        <c:numFmt formatCode="#,##0" sourceLinked="1"/>
        <c:majorTickMark val="none"/>
        <c:minorTickMark val="none"/>
        <c:tickLblPos val="low"/>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150" b="0" i="0" u="none" strike="noStrike" baseline="0">
                    <a:solidFill>
                      <a:srgbClr val="000000"/>
                    </a:solidFill>
                    <a:latin typeface="Arial"/>
                    <a:ea typeface="Arial"/>
                    <a:cs typeface="Arial"/>
                  </a:defRPr>
                </a:pPr>
                <a:r>
                  <a:rPr lang="de-DE"/>
                  <a:t>Kapitalwert [Euro]</a:t>
                </a:r>
              </a:p>
            </c:rich>
          </c:tx>
          <c:layout>
            <c:manualLayout>
              <c:xMode val="edge"/>
              <c:yMode val="edge"/>
              <c:x val="1.7432646592709985E-2"/>
              <c:y val="0.2900763358778625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de-DE"/>
          </a:p>
        </c:txPr>
        <c:crossAx val="762938127"/>
        <c:crosses val="autoZero"/>
        <c:crossBetween val="between"/>
      </c:valAx>
      <c:spPr>
        <a:noFill/>
        <a:ln w="3175">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codeName="Diagramm5"/>
  <sheetViews>
    <sheetView workbookViewId="0"/>
  </sheetViews>
  <sheetProtection content="1" objects="1"/>
  <pageMargins left="0.78740157480314965" right="0.78740157480314965" top="0.78740157480314965" bottom="6.6929133858267722" header="0.51181102362204722" footer="0.51181102362204722"/>
  <pageSetup paperSize="9" orientation="portrait" r:id="rId1"/>
  <headerFooter alignWithMargins="0">
    <oddHeader>&amp;F</oddHeader>
    <oddFooter>&amp;A</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4133850</xdr:colOff>
      <xdr:row>0</xdr:row>
      <xdr:rowOff>85725</xdr:rowOff>
    </xdr:from>
    <xdr:to>
      <xdr:col>0</xdr:col>
      <xdr:colOff>5705475</xdr:colOff>
      <xdr:row>2</xdr:row>
      <xdr:rowOff>438150</xdr:rowOff>
    </xdr:to>
    <xdr:pic>
      <xdr:nvPicPr>
        <xdr:cNvPr id="1278" name="Picture 2" descr="C:\Dokumente und Einstellungen\aw\Desktop\Umweltinstitut-Logo-CMYK_klein.tif">
          <a:extLst>
            <a:ext uri="{FF2B5EF4-FFF2-40B4-BE49-F238E27FC236}">
              <a16:creationId xmlns:a16="http://schemas.microsoft.com/office/drawing/2014/main" id="{2AD57B87-B946-431E-ADAE-46F26918B2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33850" y="85725"/>
          <a:ext cx="15716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549275</xdr:colOff>
      <xdr:row>0</xdr:row>
      <xdr:rowOff>107950</xdr:rowOff>
    </xdr:from>
    <xdr:to>
      <xdr:col>6</xdr:col>
      <xdr:colOff>457200</xdr:colOff>
      <xdr:row>4</xdr:row>
      <xdr:rowOff>127000</xdr:rowOff>
    </xdr:to>
    <xdr:pic>
      <xdr:nvPicPr>
        <xdr:cNvPr id="20570" name="Picture 113" descr="C:\Dokumente und Einstellungen\aw\Desktop\Umweltinstitut-Logo-CMYK_klein.tif">
          <a:extLst>
            <a:ext uri="{FF2B5EF4-FFF2-40B4-BE49-F238E27FC236}">
              <a16:creationId xmlns:a16="http://schemas.microsoft.com/office/drawing/2014/main" id="{4A36FC25-2799-486C-9128-4D9CC2444E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62525" y="107950"/>
          <a:ext cx="1838325" cy="882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525780</xdr:colOff>
      <xdr:row>53</xdr:row>
      <xdr:rowOff>45720</xdr:rowOff>
    </xdr:from>
    <xdr:ext cx="65" cy="172227"/>
    <xdr:sp macro="" textlink="">
      <xdr:nvSpPr>
        <xdr:cNvPr id="2" name="Textfeld 1"/>
        <xdr:cNvSpPr txBox="1"/>
      </xdr:nvSpPr>
      <xdr:spPr>
        <a:xfrm>
          <a:off x="6758940" y="10248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wsDr>
</file>

<file path=xl/drawings/drawing3.xml><?xml version="1.0" encoding="utf-8"?>
<xdr:wsDr xmlns:xdr="http://schemas.openxmlformats.org/drawingml/2006/spreadsheetDrawing" xmlns:a="http://schemas.openxmlformats.org/drawingml/2006/main">
  <xdr:absoluteAnchor>
    <xdr:pos x="0" y="0"/>
    <xdr:ext cx="6007100" cy="3746500"/>
    <xdr:graphicFrame macro="">
      <xdr:nvGraphicFramePr>
        <xdr:cNvPr id="2" name="Diagramm 1">
          <a:extLst>
            <a:ext uri="{FF2B5EF4-FFF2-40B4-BE49-F238E27FC236}">
              <a16:creationId xmlns:a16="http://schemas.microsoft.com/office/drawing/2014/main" id="{0F592E78-E63D-4C98-B84A-51348FA9A12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re.jrc.ec.europa.eu/pvgis/apps4/pvest.php" TargetMode="External"/><Relationship Id="rId1" Type="http://schemas.openxmlformats.org/officeDocument/2006/relationships/hyperlink" Target="https://www.kfw-formularsammlung.de/KonditionenanzeigerINet/KonditionenAnzeiger?ProgrammNameNr=270"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N48"/>
  <sheetViews>
    <sheetView showGridLines="0" workbookViewId="0">
      <selection activeCell="C7" sqref="C7"/>
    </sheetView>
  </sheetViews>
  <sheetFormatPr baseColWidth="10" defaultRowHeight="13.2" x14ac:dyDescent="0.25"/>
  <cols>
    <col min="1" max="1" width="85.6640625" style="1" customWidth="1"/>
  </cols>
  <sheetData>
    <row r="1" spans="1:14" s="14" customFormat="1" ht="17.399999999999999" x14ac:dyDescent="0.3">
      <c r="A1" s="52" t="s">
        <v>21</v>
      </c>
    </row>
    <row r="2" spans="1:14" ht="15" customHeight="1" x14ac:dyDescent="0.25">
      <c r="A2" s="190" t="str">
        <f>ProgVersion</f>
        <v>Stand: 21.07.2026</v>
      </c>
    </row>
    <row r="3" spans="1:14" s="18" customFormat="1" ht="48.75" customHeight="1" x14ac:dyDescent="0.25">
      <c r="A3" s="15" t="s">
        <v>45</v>
      </c>
      <c r="B3" s="16"/>
      <c r="C3" s="16"/>
      <c r="D3" s="16"/>
      <c r="E3" s="16"/>
      <c r="F3" s="16"/>
      <c r="G3" s="17"/>
      <c r="H3" s="17"/>
      <c r="I3" s="17"/>
      <c r="J3" s="17"/>
      <c r="K3" s="17"/>
      <c r="L3" s="17"/>
      <c r="M3" s="17"/>
      <c r="N3" s="17"/>
    </row>
    <row r="4" spans="1:14" s="18" customFormat="1" ht="48.75" customHeight="1" x14ac:dyDescent="0.25">
      <c r="A4" s="19" t="s">
        <v>106</v>
      </c>
      <c r="B4" s="16"/>
      <c r="C4" s="16"/>
      <c r="D4" s="16"/>
      <c r="E4" s="16"/>
      <c r="F4" s="16"/>
      <c r="G4" s="17"/>
      <c r="H4" s="17"/>
      <c r="I4" s="17"/>
      <c r="J4" s="17"/>
      <c r="K4" s="17"/>
      <c r="L4" s="17"/>
      <c r="M4" s="17"/>
      <c r="N4" s="17"/>
    </row>
    <row r="6" spans="1:14" s="22" customFormat="1" ht="37.5" customHeight="1" x14ac:dyDescent="0.25">
      <c r="A6" s="25" t="s">
        <v>46</v>
      </c>
    </row>
    <row r="7" spans="1:14" s="21" customFormat="1" ht="159.75" customHeight="1" x14ac:dyDescent="0.25">
      <c r="A7" s="26" t="s">
        <v>55</v>
      </c>
    </row>
    <row r="8" spans="1:14" ht="52.5" customHeight="1" x14ac:dyDescent="0.25">
      <c r="A8" s="25" t="s">
        <v>100</v>
      </c>
    </row>
    <row r="9" spans="1:14" ht="32.25" customHeight="1" x14ac:dyDescent="0.25">
      <c r="A9" s="27" t="s">
        <v>47</v>
      </c>
    </row>
    <row r="10" spans="1:14" ht="57.75" customHeight="1" x14ac:dyDescent="0.25">
      <c r="A10" s="26" t="s">
        <v>70</v>
      </c>
    </row>
    <row r="11" spans="1:14" ht="47.25" customHeight="1" x14ac:dyDescent="0.25">
      <c r="A11" s="25" t="s">
        <v>101</v>
      </c>
    </row>
    <row r="12" spans="1:14" ht="75" customHeight="1" x14ac:dyDescent="0.25">
      <c r="A12" s="28" t="s">
        <v>102</v>
      </c>
    </row>
    <row r="13" spans="1:14" s="11" customFormat="1" ht="42" customHeight="1" x14ac:dyDescent="0.25">
      <c r="A13" s="25" t="s">
        <v>104</v>
      </c>
    </row>
    <row r="14" spans="1:14" ht="23.25" customHeight="1" x14ac:dyDescent="0.25">
      <c r="A14" s="24" t="s">
        <v>48</v>
      </c>
    </row>
    <row r="15" spans="1:14" ht="62.25" customHeight="1" x14ac:dyDescent="0.25">
      <c r="A15" s="51" t="s">
        <v>68</v>
      </c>
    </row>
    <row r="16" spans="1:14" ht="30" customHeight="1" x14ac:dyDescent="0.25">
      <c r="A16" s="29" t="s">
        <v>27</v>
      </c>
    </row>
    <row r="17" spans="1:1" ht="28.5" customHeight="1" x14ac:dyDescent="0.25">
      <c r="A17" s="29" t="s">
        <v>5</v>
      </c>
    </row>
    <row r="18" spans="1:1" ht="27.75" customHeight="1" x14ac:dyDescent="0.25">
      <c r="A18" s="29" t="s">
        <v>115</v>
      </c>
    </row>
    <row r="19" spans="1:1" s="21" customFormat="1" ht="13.5" customHeight="1" x14ac:dyDescent="0.25">
      <c r="A19" s="20"/>
    </row>
    <row r="20" spans="1:1" x14ac:dyDescent="0.25">
      <c r="A20" s="23"/>
    </row>
    <row r="21" spans="1:1" x14ac:dyDescent="0.25">
      <c r="A21" s="23"/>
    </row>
    <row r="22" spans="1:1" x14ac:dyDescent="0.25">
      <c r="A22" s="23"/>
    </row>
    <row r="23" spans="1:1" x14ac:dyDescent="0.25">
      <c r="A23" s="23"/>
    </row>
    <row r="24" spans="1:1" x14ac:dyDescent="0.25">
      <c r="A24" s="23"/>
    </row>
    <row r="25" spans="1:1" x14ac:dyDescent="0.25">
      <c r="A25" s="23"/>
    </row>
    <row r="26" spans="1:1" x14ac:dyDescent="0.25">
      <c r="A26" s="23"/>
    </row>
    <row r="27" spans="1:1" x14ac:dyDescent="0.25">
      <c r="A27" s="23"/>
    </row>
    <row r="28" spans="1:1" x14ac:dyDescent="0.25">
      <c r="A28" s="23"/>
    </row>
    <row r="29" spans="1:1" x14ac:dyDescent="0.25">
      <c r="A29" s="23"/>
    </row>
    <row r="30" spans="1:1" x14ac:dyDescent="0.25">
      <c r="A30" s="23"/>
    </row>
    <row r="31" spans="1:1" x14ac:dyDescent="0.25">
      <c r="A31" s="23"/>
    </row>
    <row r="32" spans="1:1" x14ac:dyDescent="0.25">
      <c r="A32" s="23"/>
    </row>
    <row r="33" spans="1:1" x14ac:dyDescent="0.25">
      <c r="A33" s="23"/>
    </row>
    <row r="34" spans="1:1" x14ac:dyDescent="0.25">
      <c r="A34" s="23"/>
    </row>
    <row r="35" spans="1:1" x14ac:dyDescent="0.25">
      <c r="A35" s="23"/>
    </row>
    <row r="36" spans="1:1" x14ac:dyDescent="0.25">
      <c r="A36" s="23"/>
    </row>
    <row r="37" spans="1:1" x14ac:dyDescent="0.25">
      <c r="A37" s="23"/>
    </row>
    <row r="38" spans="1:1" x14ac:dyDescent="0.25">
      <c r="A38" s="23"/>
    </row>
    <row r="39" spans="1:1" x14ac:dyDescent="0.25">
      <c r="A39" s="23"/>
    </row>
    <row r="40" spans="1:1" x14ac:dyDescent="0.25">
      <c r="A40" s="23"/>
    </row>
    <row r="41" spans="1:1" x14ac:dyDescent="0.25">
      <c r="A41" s="23"/>
    </row>
    <row r="42" spans="1:1" x14ac:dyDescent="0.25">
      <c r="A42" s="23"/>
    </row>
    <row r="43" spans="1:1" x14ac:dyDescent="0.25">
      <c r="A43" s="23"/>
    </row>
    <row r="44" spans="1:1" x14ac:dyDescent="0.25">
      <c r="A44" s="23"/>
    </row>
    <row r="45" spans="1:1" x14ac:dyDescent="0.25">
      <c r="A45" s="23"/>
    </row>
    <row r="46" spans="1:1" x14ac:dyDescent="0.25">
      <c r="A46" s="23"/>
    </row>
    <row r="47" spans="1:1" x14ac:dyDescent="0.25">
      <c r="A47" s="23"/>
    </row>
    <row r="48" spans="1:1" x14ac:dyDescent="0.25">
      <c r="A48" s="23"/>
    </row>
  </sheetData>
  <sheetProtection sheet="1" objects="1" scenarios="1"/>
  <customSheetViews>
    <customSheetView guid="{36051EDE-EE05-46A8-9481-5CD2E0A132E3}" showRuler="0" topLeftCell="A7">
      <selection activeCell="C7" sqref="C7"/>
      <pageMargins left="0.78740157499999996" right="0.78740157499999996" top="0.984251969" bottom="0.984251969" header="0.4921259845" footer="0.4921259845"/>
      <pageSetup paperSize="9" orientation="portrait" verticalDpi="300"/>
      <headerFooter alignWithMargins="0">
        <oddHeader>&amp;F</oddHeader>
        <oddFooter>&amp;A</oddFooter>
      </headerFooter>
    </customSheetView>
  </customSheetViews>
  <phoneticPr fontId="0" type="noConversion"/>
  <pageMargins left="0.78740157499999996" right="0.78740157499999996" top="0.984251969" bottom="0.984251969" header="0.4921259845" footer="0.4921259845"/>
  <pageSetup paperSize="9" orientation="portrait" verticalDpi="300"/>
  <headerFooter alignWithMargins="0">
    <oddHeader>&amp;F</oddHeader>
    <oddFooter>&amp;A</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pageSetUpPr fitToPage="1"/>
  </sheetPr>
  <dimension ref="A1:O81"/>
  <sheetViews>
    <sheetView showGridLines="0" tabSelected="1" topLeftCell="A37" zoomScaleNormal="100" workbookViewId="0">
      <selection activeCell="B52" sqref="B52"/>
    </sheetView>
  </sheetViews>
  <sheetFormatPr baseColWidth="10" defaultColWidth="8.6640625" defaultRowHeight="15" customHeight="1" x14ac:dyDescent="0.25"/>
  <cols>
    <col min="1" max="1" width="44.44140625" style="82" customWidth="1"/>
    <col min="2" max="2" width="10" style="42" customWidth="1"/>
    <col min="3" max="3" width="8.6640625" style="42" customWidth="1"/>
    <col min="4" max="4" width="9.88671875" style="42" customWidth="1"/>
    <col min="5" max="5" width="9.5546875" style="84" customWidth="1"/>
    <col min="6" max="6" width="8.33203125" style="42" customWidth="1"/>
    <col min="7" max="7" width="9.44140625" style="42" customWidth="1"/>
    <col min="8" max="8" width="8.44140625" style="42" hidden="1" customWidth="1"/>
    <col min="9" max="9" width="1.5546875" style="42" customWidth="1"/>
    <col min="10" max="10" width="15.6640625" style="122" customWidth="1"/>
    <col min="11" max="12" width="8.6640625" style="43"/>
    <col min="13" max="13" width="16.44140625" style="43" customWidth="1"/>
    <col min="14" max="14" width="13.109375" style="43" customWidth="1"/>
    <col min="15" max="16" width="8.6640625" style="43"/>
    <col min="17" max="17" width="9.77734375" style="43" customWidth="1"/>
    <col min="18" max="16384" width="8.6640625" style="43"/>
  </cols>
  <sheetData>
    <row r="1" spans="1:15" s="55" customFormat="1" ht="23.25" customHeight="1" x14ac:dyDescent="0.3">
      <c r="A1" s="52" t="s">
        <v>21</v>
      </c>
      <c r="B1" s="53"/>
      <c r="C1" s="52"/>
      <c r="D1" s="53"/>
      <c r="E1" s="140"/>
      <c r="F1" s="52"/>
      <c r="G1" s="54"/>
      <c r="H1" s="54"/>
      <c r="I1" s="98"/>
      <c r="J1" s="123"/>
    </row>
    <row r="2" spans="1:15" s="59" customFormat="1" ht="15" customHeight="1" x14ac:dyDescent="0.3">
      <c r="A2" s="189" t="s">
        <v>128</v>
      </c>
      <c r="B2" s="57"/>
      <c r="C2" s="56"/>
      <c r="D2" s="57"/>
      <c r="E2" s="141"/>
      <c r="F2" s="56"/>
      <c r="G2" s="58"/>
      <c r="H2" s="58"/>
      <c r="I2" s="98"/>
      <c r="J2" s="123"/>
    </row>
    <row r="3" spans="1:15" s="59" customFormat="1" ht="15" customHeight="1" x14ac:dyDescent="0.3">
      <c r="A3" s="60"/>
      <c r="B3" s="57"/>
      <c r="C3" s="56"/>
      <c r="D3" s="57"/>
      <c r="E3" s="141"/>
      <c r="F3" s="56"/>
      <c r="G3" s="58"/>
      <c r="H3" s="58"/>
      <c r="I3" s="98"/>
      <c r="J3" s="123"/>
    </row>
    <row r="4" spans="1:15" s="59" customFormat="1" ht="15" customHeight="1" x14ac:dyDescent="0.3">
      <c r="A4" s="60"/>
      <c r="B4" s="57"/>
      <c r="C4" s="56"/>
      <c r="D4" s="57"/>
      <c r="E4" s="141"/>
      <c r="F4" s="56"/>
      <c r="G4" s="58"/>
      <c r="H4" s="58"/>
      <c r="I4" s="98"/>
      <c r="J4" s="123"/>
    </row>
    <row r="5" spans="1:15" ht="15" customHeight="1" x14ac:dyDescent="0.3">
      <c r="A5" s="64" t="s">
        <v>13</v>
      </c>
      <c r="B5" s="60"/>
      <c r="C5" s="61"/>
      <c r="D5" s="60"/>
      <c r="E5" s="142"/>
      <c r="F5" s="61"/>
      <c r="I5" s="98"/>
      <c r="J5" s="123"/>
    </row>
    <row r="6" spans="1:15" s="64" customFormat="1" ht="15" customHeight="1" x14ac:dyDescent="0.3">
      <c r="A6" s="64" t="s">
        <v>99</v>
      </c>
      <c r="B6" s="167"/>
      <c r="D6" s="167"/>
      <c r="I6" s="98"/>
      <c r="J6" s="127"/>
    </row>
    <row r="7" spans="1:15" s="64" customFormat="1" ht="15" customHeight="1" x14ac:dyDescent="0.3">
      <c r="A7" s="64" t="s">
        <v>69</v>
      </c>
      <c r="B7" s="167"/>
      <c r="D7" s="167"/>
      <c r="I7" s="98"/>
    </row>
    <row r="8" spans="1:15" s="170" customFormat="1" ht="15" customHeight="1" x14ac:dyDescent="0.3">
      <c r="A8" s="64" t="s">
        <v>83</v>
      </c>
      <c r="B8" s="168"/>
      <c r="C8" s="168"/>
      <c r="D8" s="168"/>
      <c r="E8" s="169"/>
      <c r="F8" s="168"/>
      <c r="G8" s="168"/>
      <c r="I8" s="98"/>
      <c r="J8" s="127"/>
    </row>
    <row r="9" spans="1:15" s="66" customFormat="1" ht="15" customHeight="1" x14ac:dyDescent="0.3">
      <c r="B9" s="65"/>
      <c r="C9" s="65"/>
      <c r="D9" s="65"/>
      <c r="E9" s="143"/>
      <c r="F9" s="65"/>
      <c r="G9" s="65"/>
      <c r="I9" s="98"/>
      <c r="J9" s="128"/>
    </row>
    <row r="10" spans="1:15" ht="15" customHeight="1" x14ac:dyDescent="0.3">
      <c r="A10" s="67" t="s">
        <v>4</v>
      </c>
      <c r="B10" s="68"/>
      <c r="C10" s="69"/>
      <c r="I10" s="98"/>
      <c r="J10" s="123"/>
    </row>
    <row r="11" spans="1:15" ht="15" customHeight="1" x14ac:dyDescent="0.3">
      <c r="A11" s="70" t="s">
        <v>51</v>
      </c>
      <c r="B11" s="86">
        <f>Berechnung!N30</f>
        <v>3.4538183721283255E-2</v>
      </c>
      <c r="C11" s="71" t="s">
        <v>1</v>
      </c>
      <c r="I11" s="98"/>
    </row>
    <row r="12" spans="1:15" ht="15" customHeight="1" x14ac:dyDescent="0.3">
      <c r="A12" s="70" t="s">
        <v>88</v>
      </c>
      <c r="B12" s="163">
        <f>IF(Berechnung!P28&lt;0,"&gt;20",Berechnung!S29)</f>
        <v>20</v>
      </c>
      <c r="C12" s="70" t="s">
        <v>14</v>
      </c>
      <c r="E12" s="82"/>
      <c r="I12" s="98"/>
      <c r="J12" s="124"/>
    </row>
    <row r="13" spans="1:15" ht="15" customHeight="1" x14ac:dyDescent="0.3">
      <c r="A13" s="70" t="s">
        <v>124</v>
      </c>
      <c r="B13" s="195">
        <f>Berechnung!D30</f>
        <v>0.42117544498332826</v>
      </c>
      <c r="C13" s="70"/>
      <c r="E13" s="82"/>
      <c r="I13" s="98"/>
      <c r="J13" s="124"/>
      <c r="O13" s="197"/>
    </row>
    <row r="14" spans="1:15" ht="15" customHeight="1" x14ac:dyDescent="0.3">
      <c r="A14" s="70" t="s">
        <v>57</v>
      </c>
      <c r="B14" s="87">
        <f>Berechnung!R31</f>
        <v>0.16914939034271034</v>
      </c>
      <c r="C14" s="71" t="s">
        <v>44</v>
      </c>
      <c r="I14" s="98"/>
      <c r="O14" s="197"/>
    </row>
    <row r="15" spans="1:15" ht="15" customHeight="1" x14ac:dyDescent="0.3">
      <c r="A15" s="70" t="s">
        <v>30</v>
      </c>
      <c r="B15" s="88">
        <f>Berechnung!O29</f>
        <v>663.58053362845965</v>
      </c>
      <c r="C15" s="70" t="s">
        <v>12</v>
      </c>
      <c r="I15" s="98"/>
      <c r="O15" s="197"/>
    </row>
    <row r="16" spans="1:15" ht="15" customHeight="1" x14ac:dyDescent="0.3">
      <c r="E16" s="82"/>
      <c r="I16" s="98"/>
      <c r="J16" s="124"/>
    </row>
    <row r="17" spans="1:10" ht="15" customHeight="1" x14ac:dyDescent="0.3">
      <c r="A17" s="70" t="s">
        <v>22</v>
      </c>
      <c r="B17" s="72"/>
      <c r="C17" s="70"/>
      <c r="E17" s="82"/>
      <c r="I17" s="98"/>
      <c r="J17" s="124"/>
    </row>
    <row r="18" spans="1:10" s="44" customFormat="1" ht="15" customHeight="1" x14ac:dyDescent="0.3">
      <c r="A18" s="73" t="s">
        <v>94</v>
      </c>
      <c r="B18" s="179">
        <v>10</v>
      </c>
      <c r="C18" s="74" t="s">
        <v>6</v>
      </c>
      <c r="D18" s="147"/>
      <c r="E18" s="70"/>
      <c r="H18" s="75"/>
      <c r="I18" s="98"/>
      <c r="J18" s="122"/>
    </row>
    <row r="19" spans="1:10" s="44" customFormat="1" ht="15" customHeight="1" x14ac:dyDescent="0.3">
      <c r="A19" s="73" t="s">
        <v>66</v>
      </c>
      <c r="B19" s="180">
        <v>12000</v>
      </c>
      <c r="C19" s="74" t="s">
        <v>65</v>
      </c>
      <c r="D19" s="78">
        <f>AnlagenpreisPV/kWp</f>
        <v>1200</v>
      </c>
      <c r="E19" s="74" t="s">
        <v>10</v>
      </c>
      <c r="F19" s="74"/>
      <c r="I19" s="98"/>
      <c r="J19" s="122"/>
    </row>
    <row r="20" spans="1:10" s="44" customFormat="1" ht="15" customHeight="1" x14ac:dyDescent="0.3">
      <c r="A20" s="73" t="s">
        <v>116</v>
      </c>
      <c r="B20" s="180">
        <v>1</v>
      </c>
      <c r="C20" s="74"/>
      <c r="D20" s="75"/>
      <c r="E20" s="74"/>
      <c r="I20" s="98"/>
      <c r="J20" s="123"/>
    </row>
    <row r="21" spans="1:10" s="44" customFormat="1" ht="15" customHeight="1" x14ac:dyDescent="0.3">
      <c r="A21" s="73" t="s">
        <v>117</v>
      </c>
      <c r="B21" s="181">
        <v>5000</v>
      </c>
      <c r="C21" s="74" t="s">
        <v>56</v>
      </c>
      <c r="D21" s="148"/>
      <c r="E21" s="76"/>
      <c r="F21" s="76"/>
      <c r="G21" s="77"/>
      <c r="I21" s="98"/>
      <c r="J21" s="122"/>
    </row>
    <row r="22" spans="1:10" s="44" customFormat="1" ht="15" customHeight="1" x14ac:dyDescent="0.3">
      <c r="A22" s="73" t="s">
        <v>118</v>
      </c>
      <c r="B22" s="180">
        <f>2%*AnlagenpreisPV</f>
        <v>240</v>
      </c>
      <c r="C22" s="74" t="s">
        <v>12</v>
      </c>
      <c r="D22" s="149"/>
      <c r="E22" s="74"/>
      <c r="I22" s="98"/>
    </row>
    <row r="23" spans="1:10" s="44" customFormat="1" ht="15" customHeight="1" x14ac:dyDescent="0.3">
      <c r="A23" s="74" t="s">
        <v>119</v>
      </c>
      <c r="B23" s="181">
        <f>Anlagenpreis*1.5%</f>
        <v>255</v>
      </c>
      <c r="C23" s="74" t="s">
        <v>80</v>
      </c>
      <c r="D23" s="75"/>
      <c r="E23" s="144"/>
      <c r="G23" s="78"/>
      <c r="I23" s="98"/>
      <c r="J23" s="122"/>
    </row>
    <row r="24" spans="1:10" s="44" customFormat="1" ht="15" customHeight="1" x14ac:dyDescent="0.3">
      <c r="A24" s="74" t="s">
        <v>28</v>
      </c>
      <c r="B24" s="181">
        <v>0</v>
      </c>
      <c r="C24" s="74" t="s">
        <v>80</v>
      </c>
      <c r="D24" s="75"/>
      <c r="E24" s="74"/>
      <c r="G24" s="78"/>
      <c r="I24" s="98"/>
      <c r="J24" s="122"/>
    </row>
    <row r="25" spans="1:10" s="44" customFormat="1" ht="15" customHeight="1" x14ac:dyDescent="0.3">
      <c r="A25" s="73" t="s">
        <v>16</v>
      </c>
      <c r="B25" s="180">
        <v>950</v>
      </c>
      <c r="C25" s="74" t="s">
        <v>85</v>
      </c>
      <c r="D25" s="75"/>
      <c r="E25" s="145" t="s">
        <v>73</v>
      </c>
      <c r="I25" s="98"/>
      <c r="J25" s="122"/>
    </row>
    <row r="26" spans="1:10" s="44" customFormat="1" ht="15" customHeight="1" x14ac:dyDescent="0.3">
      <c r="A26" s="82" t="s">
        <v>90</v>
      </c>
      <c r="B26" s="182">
        <v>3.0000000000000001E-3</v>
      </c>
      <c r="C26" s="74"/>
      <c r="D26" s="75"/>
      <c r="E26" s="74"/>
      <c r="I26" s="98"/>
      <c r="J26" s="122"/>
    </row>
    <row r="27" spans="1:10" s="44" customFormat="1" ht="15" customHeight="1" x14ac:dyDescent="0.3">
      <c r="A27" s="73" t="s">
        <v>111</v>
      </c>
      <c r="B27" s="182" t="s">
        <v>43</v>
      </c>
      <c r="C27" s="74"/>
      <c r="D27" s="75"/>
      <c r="E27" s="74"/>
      <c r="I27" s="98"/>
      <c r="J27" s="122"/>
    </row>
    <row r="28" spans="1:10" s="44" customFormat="1" ht="15" customHeight="1" x14ac:dyDescent="0.3">
      <c r="A28" s="73" t="s">
        <v>110</v>
      </c>
      <c r="B28" s="183">
        <v>0.25</v>
      </c>
      <c r="C28" s="74"/>
      <c r="D28" s="75"/>
      <c r="E28" s="74"/>
      <c r="I28" s="98"/>
      <c r="J28" s="122"/>
    </row>
    <row r="29" spans="1:10" s="44" customFormat="1" ht="15" customHeight="1" x14ac:dyDescent="0.3">
      <c r="A29" s="73" t="s">
        <v>109</v>
      </c>
      <c r="B29" s="184">
        <v>0.25</v>
      </c>
      <c r="C29" s="74"/>
      <c r="D29" s="150"/>
      <c r="E29" s="74"/>
      <c r="I29" s="98"/>
      <c r="J29" s="122"/>
    </row>
    <row r="30" spans="1:10" s="44" customFormat="1" ht="15" customHeight="1" x14ac:dyDescent="0.3">
      <c r="A30" s="73" t="s">
        <v>89</v>
      </c>
      <c r="B30" s="183">
        <v>0.17</v>
      </c>
      <c r="C30" s="74"/>
      <c r="D30" s="75"/>
      <c r="E30" s="145"/>
      <c r="I30" s="98"/>
      <c r="J30" s="122"/>
    </row>
    <row r="31" spans="1:10" s="44" customFormat="1" ht="15" customHeight="1" x14ac:dyDescent="0.3">
      <c r="A31" s="82" t="s">
        <v>126</v>
      </c>
      <c r="B31" s="185">
        <v>0.02</v>
      </c>
      <c r="C31" s="74" t="s">
        <v>1</v>
      </c>
      <c r="D31" s="75"/>
      <c r="E31" s="145"/>
      <c r="I31" s="98"/>
      <c r="J31" s="122"/>
    </row>
    <row r="32" spans="1:10" s="44" customFormat="1" ht="15" customHeight="1" x14ac:dyDescent="0.3">
      <c r="A32" s="73" t="s">
        <v>125</v>
      </c>
      <c r="B32" s="180">
        <v>3000</v>
      </c>
      <c r="C32" s="74" t="s">
        <v>12</v>
      </c>
      <c r="D32" s="75"/>
      <c r="E32" s="145"/>
      <c r="I32" s="98"/>
      <c r="J32" s="122"/>
    </row>
    <row r="33" spans="1:10" s="44" customFormat="1" ht="15" customHeight="1" x14ac:dyDescent="0.3">
      <c r="A33" s="73" t="s">
        <v>67</v>
      </c>
      <c r="B33" s="186">
        <v>2027</v>
      </c>
      <c r="C33" s="79"/>
      <c r="D33" s="149"/>
      <c r="E33" s="74"/>
      <c r="I33" s="98"/>
      <c r="J33" s="122"/>
    </row>
    <row r="34" spans="1:10" s="44" customFormat="1" ht="15" customHeight="1" x14ac:dyDescent="0.3">
      <c r="A34" s="73" t="s">
        <v>49</v>
      </c>
      <c r="B34" s="186">
        <v>1</v>
      </c>
      <c r="C34" s="75"/>
      <c r="D34" s="151"/>
      <c r="E34" s="74"/>
      <c r="I34" s="98"/>
      <c r="J34" s="122"/>
    </row>
    <row r="35" spans="1:10" s="44" customFormat="1" ht="15" customHeight="1" x14ac:dyDescent="0.3">
      <c r="A35" s="73"/>
      <c r="B35" s="133"/>
      <c r="D35" s="75"/>
      <c r="E35" s="74"/>
      <c r="I35" s="98"/>
      <c r="J35" s="122"/>
    </row>
    <row r="36" spans="1:10" s="44" customFormat="1" ht="15" customHeight="1" x14ac:dyDescent="0.3">
      <c r="A36" s="73" t="s">
        <v>74</v>
      </c>
      <c r="B36" s="97">
        <f>AnlagenpreisPV+BatteriespeicherJN*(ZusatzkostenBatterie)</f>
        <v>17000</v>
      </c>
      <c r="C36" s="74" t="s">
        <v>12</v>
      </c>
      <c r="D36" s="75"/>
      <c r="E36" s="74"/>
      <c r="I36" s="98"/>
      <c r="J36" s="122"/>
    </row>
    <row r="37" spans="1:10" s="44" customFormat="1" ht="15" customHeight="1" x14ac:dyDescent="0.3">
      <c r="A37" s="73" t="s">
        <v>81</v>
      </c>
      <c r="B37" s="36">
        <f>IF(Volleinspeisung="ja",F37,VLOOKUP(IBNJahr,Vergütung!A3:B8,2,TRUE))</f>
        <v>5.1999999999999998E-2</v>
      </c>
      <c r="C37" s="74" t="s">
        <v>44</v>
      </c>
      <c r="D37" s="200" t="s">
        <v>112</v>
      </c>
      <c r="E37" s="200"/>
      <c r="F37" s="176">
        <f>IF(kWp&lt;=10,0.13,IF(kWp&lt;=100,(10*0.13+(kWp-10)*0.109)/kWp,IF(kWp&lt;=300,(10*0.13+90*0.109+(kWp-100)*0.09)/kWp)))*IF(IBNJahr&lt;2024,1,IF(IBNMonat&lt;2,1,IF(AND(IBNMonat&gt;D349,IBNMonat&lt;8),0.99,0.9801)))</f>
        <v>0.13</v>
      </c>
      <c r="G37" s="74" t="s">
        <v>44</v>
      </c>
      <c r="I37" s="98"/>
      <c r="J37" s="122"/>
    </row>
    <row r="38" spans="1:10" s="44" customFormat="1" ht="15.6" customHeight="1" x14ac:dyDescent="0.3">
      <c r="D38" s="199"/>
      <c r="E38" s="199"/>
      <c r="F38" s="199"/>
      <c r="G38" s="199"/>
      <c r="I38" s="98"/>
      <c r="J38" s="122"/>
    </row>
    <row r="39" spans="1:10" s="44" customFormat="1" ht="15" customHeight="1" x14ac:dyDescent="0.3">
      <c r="A39" s="67" t="s">
        <v>23</v>
      </c>
      <c r="B39" s="81"/>
      <c r="D39" s="75"/>
      <c r="E39" s="74"/>
      <c r="I39" s="98"/>
      <c r="J39" s="122"/>
    </row>
    <row r="40" spans="1:10" s="44" customFormat="1" ht="15" customHeight="1" x14ac:dyDescent="0.3">
      <c r="A40" s="73" t="s">
        <v>120</v>
      </c>
      <c r="B40" s="30">
        <v>0</v>
      </c>
      <c r="C40" s="74" t="s">
        <v>12</v>
      </c>
      <c r="D40" s="149">
        <f>(Anlagenpreis-Kredit1)/Anlagenpreis</f>
        <v>1</v>
      </c>
      <c r="E40" s="74" t="s">
        <v>64</v>
      </c>
      <c r="I40" s="98"/>
      <c r="J40" s="122"/>
    </row>
    <row r="41" spans="1:10" ht="15" customHeight="1" x14ac:dyDescent="0.3">
      <c r="A41" s="82" t="s">
        <v>17</v>
      </c>
      <c r="B41" s="33">
        <v>1</v>
      </c>
      <c r="D41" s="135"/>
      <c r="I41" s="98"/>
    </row>
    <row r="42" spans="1:10" ht="15" customHeight="1" x14ac:dyDescent="0.3">
      <c r="A42" s="82" t="s">
        <v>108</v>
      </c>
      <c r="B42" s="32">
        <v>1.5E-3</v>
      </c>
      <c r="I42" s="98"/>
    </row>
    <row r="43" spans="1:10" s="44" customFormat="1" ht="15" customHeight="1" x14ac:dyDescent="0.3">
      <c r="A43" s="82" t="s">
        <v>20</v>
      </c>
      <c r="B43" s="32">
        <v>5.96E-2</v>
      </c>
      <c r="C43" s="74" t="s">
        <v>1</v>
      </c>
      <c r="D43" s="83" t="s">
        <v>84</v>
      </c>
      <c r="E43" s="74"/>
      <c r="F43" s="74" t="s">
        <v>96</v>
      </c>
      <c r="I43" s="98"/>
      <c r="J43" s="122"/>
    </row>
    <row r="44" spans="1:10" ht="15" customHeight="1" x14ac:dyDescent="0.3">
      <c r="A44" s="82" t="s">
        <v>18</v>
      </c>
      <c r="B44" s="35">
        <v>10</v>
      </c>
      <c r="C44" s="84" t="s">
        <v>14</v>
      </c>
      <c r="I44" s="98"/>
    </row>
    <row r="45" spans="1:10" s="44" customFormat="1" ht="15" customHeight="1" x14ac:dyDescent="0.3">
      <c r="A45" s="82" t="s">
        <v>63</v>
      </c>
      <c r="B45" s="30">
        <v>10</v>
      </c>
      <c r="C45" s="74"/>
      <c r="D45" s="75"/>
      <c r="E45" s="74"/>
      <c r="I45" s="98"/>
      <c r="J45" s="122"/>
    </row>
    <row r="46" spans="1:10" ht="15" customHeight="1" x14ac:dyDescent="0.3">
      <c r="A46" s="82" t="s">
        <v>19</v>
      </c>
      <c r="B46" s="35">
        <v>2</v>
      </c>
      <c r="C46" s="84" t="s">
        <v>14</v>
      </c>
      <c r="I46" s="98"/>
    </row>
    <row r="47" spans="1:10" ht="15" customHeight="1" x14ac:dyDescent="0.3">
      <c r="A47" s="82" t="s">
        <v>26</v>
      </c>
      <c r="B47" s="32">
        <v>0.05</v>
      </c>
      <c r="C47" s="74" t="s">
        <v>1</v>
      </c>
      <c r="I47" s="98"/>
    </row>
    <row r="48" spans="1:10" ht="15" customHeight="1" x14ac:dyDescent="0.3">
      <c r="C48" s="84"/>
      <c r="I48" s="98"/>
    </row>
    <row r="49" spans="1:10" ht="15" customHeight="1" x14ac:dyDescent="0.3">
      <c r="A49" s="67" t="s">
        <v>24</v>
      </c>
      <c r="C49" s="84"/>
      <c r="I49" s="98"/>
    </row>
    <row r="50" spans="1:10" ht="15" customHeight="1" x14ac:dyDescent="0.3">
      <c r="A50" s="73" t="s">
        <v>107</v>
      </c>
      <c r="B50" s="134" t="s">
        <v>62</v>
      </c>
      <c r="C50" s="84"/>
      <c r="I50" s="98"/>
    </row>
    <row r="51" spans="1:10" s="44" customFormat="1" ht="15" customHeight="1" x14ac:dyDescent="0.3">
      <c r="A51" s="73" t="s">
        <v>87</v>
      </c>
      <c r="B51" s="134" t="s">
        <v>43</v>
      </c>
      <c r="C51" s="75"/>
      <c r="D51" s="80"/>
      <c r="E51" s="74"/>
      <c r="I51" s="98"/>
      <c r="J51" s="122"/>
    </row>
    <row r="52" spans="1:10" s="44" customFormat="1" ht="15" customHeight="1" x14ac:dyDescent="0.3">
      <c r="A52" s="73" t="s">
        <v>0</v>
      </c>
      <c r="B52" s="31">
        <v>0.02</v>
      </c>
      <c r="C52" s="74" t="s">
        <v>1</v>
      </c>
      <c r="D52" s="75"/>
      <c r="E52" s="74"/>
      <c r="I52" s="98"/>
      <c r="J52" s="122"/>
    </row>
    <row r="53" spans="1:10" s="44" customFormat="1" ht="15" customHeight="1" x14ac:dyDescent="0.3">
      <c r="A53" s="73" t="s">
        <v>25</v>
      </c>
      <c r="B53" s="31">
        <v>0.03</v>
      </c>
      <c r="C53" s="74" t="s">
        <v>1</v>
      </c>
      <c r="D53" s="75"/>
      <c r="E53" s="74"/>
      <c r="I53" s="98"/>
      <c r="J53" s="122"/>
    </row>
    <row r="54" spans="1:10" s="44" customFormat="1" ht="15" customHeight="1" x14ac:dyDescent="0.3">
      <c r="A54" s="73" t="s">
        <v>127</v>
      </c>
      <c r="B54" s="180">
        <v>4000</v>
      </c>
      <c r="C54" s="74" t="s">
        <v>29</v>
      </c>
      <c r="D54" s="75"/>
      <c r="E54" s="74"/>
      <c r="I54" s="98"/>
      <c r="J54" s="122"/>
    </row>
    <row r="55" spans="1:10" s="44" customFormat="1" ht="15" customHeight="1" x14ac:dyDescent="0.3">
      <c r="A55" s="73" t="s">
        <v>50</v>
      </c>
      <c r="B55" s="188">
        <v>0.28000000000000003</v>
      </c>
      <c r="C55" s="74" t="s">
        <v>44</v>
      </c>
      <c r="D55" s="152" t="s">
        <v>71</v>
      </c>
      <c r="E55" s="177">
        <f>StrompreisNetto*1.19</f>
        <v>0.3332</v>
      </c>
      <c r="F55" s="74" t="s">
        <v>72</v>
      </c>
      <c r="I55" s="98"/>
      <c r="J55" s="122"/>
    </row>
    <row r="56" spans="1:10" s="44" customFormat="1" ht="15" customHeight="1" x14ac:dyDescent="0.3">
      <c r="A56" s="82" t="s">
        <v>91</v>
      </c>
      <c r="B56" s="187">
        <v>0.02</v>
      </c>
      <c r="C56" s="74" t="s">
        <v>1</v>
      </c>
      <c r="D56" s="75"/>
      <c r="E56" s="74"/>
      <c r="I56" s="98"/>
      <c r="J56" s="122"/>
    </row>
    <row r="57" spans="1:10" s="44" customFormat="1" ht="15" customHeight="1" x14ac:dyDescent="0.3">
      <c r="A57" s="73" t="s">
        <v>92</v>
      </c>
      <c r="B57" s="188">
        <v>2.6800000000000001E-2</v>
      </c>
      <c r="C57" s="74" t="s">
        <v>44</v>
      </c>
      <c r="D57" s="75"/>
      <c r="E57" s="74"/>
      <c r="I57" s="98"/>
      <c r="J57" s="122"/>
    </row>
    <row r="58" spans="1:10" s="44" customFormat="1" ht="15" customHeight="1" x14ac:dyDescent="0.3">
      <c r="A58" s="82" t="s">
        <v>93</v>
      </c>
      <c r="B58" s="31">
        <v>0.02</v>
      </c>
      <c r="C58" s="74" t="s">
        <v>1</v>
      </c>
      <c r="D58" s="75"/>
      <c r="E58" s="74"/>
      <c r="I58" s="98"/>
      <c r="J58" s="122"/>
    </row>
    <row r="59" spans="1:10" s="44" customFormat="1" ht="15" customHeight="1" x14ac:dyDescent="0.3">
      <c r="A59" s="82" t="s">
        <v>131</v>
      </c>
      <c r="B59" s="198">
        <v>1.4999999999999999E-2</v>
      </c>
      <c r="C59" s="74" t="s">
        <v>44</v>
      </c>
      <c r="D59" s="75"/>
      <c r="E59" s="74"/>
      <c r="I59" s="98"/>
      <c r="J59" s="122"/>
    </row>
    <row r="60" spans="1:10" s="44" customFormat="1" ht="15" customHeight="1" x14ac:dyDescent="0.3">
      <c r="A60" s="82" t="s">
        <v>130</v>
      </c>
      <c r="B60" s="198">
        <v>90</v>
      </c>
      <c r="C60" s="74" t="s">
        <v>12</v>
      </c>
      <c r="D60" s="75"/>
      <c r="E60" s="74"/>
      <c r="I60" s="98"/>
      <c r="J60" s="122"/>
    </row>
    <row r="61" spans="1:10" s="44" customFormat="1" ht="15" customHeight="1" x14ac:dyDescent="0.3">
      <c r="A61" s="82" t="s">
        <v>129</v>
      </c>
      <c r="B61" s="198">
        <v>200</v>
      </c>
      <c r="C61" s="74" t="s">
        <v>12</v>
      </c>
      <c r="D61" s="75"/>
      <c r="E61" s="74"/>
      <c r="I61" s="98"/>
      <c r="J61" s="122"/>
    </row>
    <row r="62" spans="1:10" s="44" customFormat="1" ht="15" customHeight="1" x14ac:dyDescent="0.3">
      <c r="A62" s="73" t="s">
        <v>79</v>
      </c>
      <c r="B62" s="34" t="s">
        <v>43</v>
      </c>
      <c r="C62" s="74"/>
      <c r="D62" s="75"/>
      <c r="E62" s="74"/>
      <c r="I62" s="98"/>
      <c r="J62" s="122"/>
    </row>
    <row r="63" spans="1:10" ht="15" customHeight="1" x14ac:dyDescent="0.3">
      <c r="I63" s="98"/>
    </row>
    <row r="64" spans="1:10" ht="8.25" customHeight="1" x14ac:dyDescent="0.3">
      <c r="A64" s="90"/>
      <c r="B64" s="91"/>
      <c r="C64" s="91"/>
      <c r="D64" s="91"/>
      <c r="E64" s="146"/>
      <c r="F64" s="91"/>
      <c r="G64" s="91"/>
      <c r="H64" s="91"/>
      <c r="I64" s="98"/>
    </row>
    <row r="65" spans="1:6" ht="15" customHeight="1" x14ac:dyDescent="0.25">
      <c r="A65" s="85" t="s">
        <v>75</v>
      </c>
      <c r="B65" s="43"/>
      <c r="C65" s="62"/>
      <c r="D65" s="136" t="s">
        <v>77</v>
      </c>
      <c r="E65" s="136" t="s">
        <v>82</v>
      </c>
    </row>
    <row r="66" spans="1:6" ht="15" customHeight="1" x14ac:dyDescent="0.25">
      <c r="A66" s="43"/>
      <c r="B66" s="41">
        <v>0</v>
      </c>
      <c r="C66" s="40" t="s">
        <v>62</v>
      </c>
      <c r="D66" s="178">
        <v>2023</v>
      </c>
      <c r="E66" s="137">
        <v>1</v>
      </c>
    </row>
    <row r="67" spans="1:6" ht="15" customHeight="1" x14ac:dyDescent="0.25">
      <c r="A67" s="43"/>
      <c r="B67" s="41">
        <v>1</v>
      </c>
      <c r="C67" s="40" t="s">
        <v>43</v>
      </c>
      <c r="D67" s="178">
        <v>2024</v>
      </c>
      <c r="E67" s="137">
        <f>E66+1</f>
        <v>2</v>
      </c>
    </row>
    <row r="68" spans="1:6" ht="15" customHeight="1" x14ac:dyDescent="0.25">
      <c r="A68" s="70"/>
      <c r="B68" s="41"/>
      <c r="C68" s="40"/>
      <c r="D68" s="178">
        <v>2025</v>
      </c>
      <c r="E68" s="137">
        <f>E67+1</f>
        <v>3</v>
      </c>
    </row>
    <row r="69" spans="1:6" ht="15" customHeight="1" x14ac:dyDescent="0.25">
      <c r="B69" s="40"/>
      <c r="C69" s="40"/>
      <c r="D69" s="178">
        <v>2026</v>
      </c>
      <c r="E69" s="137">
        <f>E68+1</f>
        <v>4</v>
      </c>
    </row>
    <row r="70" spans="1:6" ht="15" customHeight="1" x14ac:dyDescent="0.25">
      <c r="B70" s="63"/>
      <c r="C70" s="40"/>
      <c r="D70" s="178">
        <v>2027</v>
      </c>
      <c r="E70" s="137">
        <f t="shared" ref="E70:E77" si="0">E69+1</f>
        <v>5</v>
      </c>
    </row>
    <row r="71" spans="1:6" ht="15" customHeight="1" x14ac:dyDescent="0.25">
      <c r="B71" s="63"/>
      <c r="C71" s="40"/>
      <c r="D71" s="178">
        <v>2028</v>
      </c>
      <c r="E71" s="137">
        <f t="shared" si="0"/>
        <v>6</v>
      </c>
    </row>
    <row r="72" spans="1:6" ht="15" customHeight="1" x14ac:dyDescent="0.25">
      <c r="B72" s="40"/>
      <c r="C72" s="40"/>
      <c r="D72" s="178"/>
      <c r="E72" s="137">
        <f t="shared" si="0"/>
        <v>7</v>
      </c>
    </row>
    <row r="73" spans="1:6" ht="15" customHeight="1" x14ac:dyDescent="0.25">
      <c r="B73" s="40"/>
      <c r="C73" s="40"/>
      <c r="D73" s="178"/>
      <c r="E73" s="137">
        <f t="shared" si="0"/>
        <v>8</v>
      </c>
    </row>
    <row r="74" spans="1:6" ht="15" customHeight="1" x14ac:dyDescent="0.25">
      <c r="B74" s="44"/>
      <c r="C74" s="44"/>
      <c r="D74" s="178"/>
      <c r="E74" s="137">
        <f t="shared" si="0"/>
        <v>9</v>
      </c>
    </row>
    <row r="75" spans="1:6" ht="15" customHeight="1" x14ac:dyDescent="0.25">
      <c r="B75" s="40"/>
      <c r="C75" s="40"/>
      <c r="D75" s="178"/>
      <c r="E75" s="137">
        <f t="shared" si="0"/>
        <v>10</v>
      </c>
    </row>
    <row r="76" spans="1:6" ht="15" customHeight="1" x14ac:dyDescent="0.25">
      <c r="B76" s="40"/>
      <c r="C76" s="40"/>
      <c r="D76" s="43"/>
      <c r="E76" s="137">
        <f t="shared" si="0"/>
        <v>11</v>
      </c>
    </row>
    <row r="77" spans="1:6" ht="15" customHeight="1" x14ac:dyDescent="0.25">
      <c r="B77" s="40"/>
      <c r="C77" s="40"/>
      <c r="D77" s="43"/>
      <c r="E77" s="137">
        <f t="shared" si="0"/>
        <v>12</v>
      </c>
    </row>
    <row r="78" spans="1:6" ht="15" customHeight="1" x14ac:dyDescent="0.25">
      <c r="E78" s="43"/>
      <c r="F78" s="138"/>
    </row>
    <row r="79" spans="1:6" ht="15" customHeight="1" x14ac:dyDescent="0.25">
      <c r="E79" s="43"/>
      <c r="F79" s="138"/>
    </row>
    <row r="80" spans="1:6" ht="15" customHeight="1" x14ac:dyDescent="0.25">
      <c r="E80" s="43"/>
      <c r="F80" s="138"/>
    </row>
    <row r="81" spans="5:6" ht="15" customHeight="1" x14ac:dyDescent="0.25">
      <c r="E81" s="43"/>
      <c r="F81" s="138"/>
    </row>
  </sheetData>
  <dataConsolidate/>
  <customSheetViews>
    <customSheetView guid="{36051EDE-EE05-46A8-9481-5CD2E0A132E3}" scale="90" hiddenColumns="1" showRuler="0">
      <selection activeCell="K14" sqref="K14"/>
      <pageMargins left="0.78740157480314965" right="0.78740157480314965" top="0.98425196850393704" bottom="0.98425196850393704" header="0.51181102362204722" footer="0.51181102362204722"/>
      <printOptions horizontalCentered="1" gridLines="1"/>
      <pageSetup paperSize="9" scale="77" orientation="portrait" horizontalDpi="300" verticalDpi="300"/>
      <headerFooter alignWithMargins="0">
        <oddHeader>&amp;F</oddHeader>
        <oddFooter>&amp;A</oddFooter>
      </headerFooter>
    </customSheetView>
  </customSheetViews>
  <mergeCells count="2">
    <mergeCell ref="D38:G38"/>
    <mergeCell ref="D37:E37"/>
  </mergeCells>
  <phoneticPr fontId="0" type="noConversion"/>
  <dataValidations count="5">
    <dataValidation type="list" allowBlank="1" showInputMessage="1" showErrorMessage="1" sqref="B35 B51 B27 B62">
      <formula1>$C$66:$C$67</formula1>
    </dataValidation>
    <dataValidation type="list" allowBlank="1" showInputMessage="1" showErrorMessage="1" sqref="B20">
      <formula1>$B$66:$B$67</formula1>
    </dataValidation>
    <dataValidation type="list" showInputMessage="1" showErrorMessage="1" sqref="B50">
      <formula1>$C$66:$C$67</formula1>
    </dataValidation>
    <dataValidation type="list" allowBlank="1" showInputMessage="1" showErrorMessage="1" sqref="B33">
      <formula1>$D$66:$D$71</formula1>
    </dataValidation>
    <dataValidation type="list" allowBlank="1" showInputMessage="1" showErrorMessage="1" sqref="B34">
      <formula1>$E$66:$E$77</formula1>
    </dataValidation>
  </dataValidations>
  <hyperlinks>
    <hyperlink ref="D43" r:id="rId1"/>
    <hyperlink ref="E25" r:id="rId2"/>
  </hyperlinks>
  <printOptions verticalCentered="1" gridLinesSet="0"/>
  <pageMargins left="0.78740157480314965" right="0.39370078740157483" top="0.78740157480314965" bottom="0.78740157480314965" header="0.51181102362204722" footer="0.51181102362204722"/>
  <pageSetup paperSize="9" scale="68" orientation="portrait" horizontalDpi="300" verticalDpi="300" r:id="rId3"/>
  <headerFooter scaleWithDoc="0" alignWithMargins="0">
    <oddHeader>&amp;F</oddHeader>
    <oddFooter>&amp;A</oddFooter>
  </headerFooter>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T35"/>
  <sheetViews>
    <sheetView workbookViewId="0">
      <selection activeCell="I18" sqref="I18"/>
    </sheetView>
  </sheetViews>
  <sheetFormatPr baseColWidth="10" defaultColWidth="10.44140625" defaultRowHeight="13.2" x14ac:dyDescent="0.25"/>
  <cols>
    <col min="1" max="1" width="4.44140625" style="2" customWidth="1"/>
    <col min="2" max="2" width="8.88671875" style="2" customWidth="1"/>
    <col min="3" max="5" width="10.33203125" style="2" customWidth="1"/>
    <col min="6" max="11" width="10.44140625" style="3" customWidth="1"/>
    <col min="12" max="12" width="10.44140625" style="4" customWidth="1"/>
    <col min="13" max="14" width="10.44140625" style="3" customWidth="1"/>
    <col min="15" max="15" width="10.44140625" style="5" customWidth="1"/>
    <col min="16" max="16" width="10.44140625" style="2"/>
    <col min="17" max="17" width="10.44140625" style="3"/>
    <col min="18" max="18" width="10.44140625" style="2"/>
    <col min="19" max="19" width="10.44140625" style="160" customWidth="1"/>
    <col min="20" max="16384" width="10.44140625" style="99"/>
  </cols>
  <sheetData>
    <row r="1" spans="1:20" s="102" customFormat="1" ht="17.25" customHeight="1" x14ac:dyDescent="0.3">
      <c r="A1" s="45" t="str">
        <f>Parameter!A1</f>
        <v>Wirtschaftlichkeit von Solarstrom</v>
      </c>
      <c r="B1" s="46"/>
      <c r="C1" s="46"/>
      <c r="D1" s="46"/>
      <c r="E1" s="46"/>
      <c r="F1" s="46"/>
      <c r="G1" s="46"/>
      <c r="H1" s="46"/>
      <c r="I1" s="46"/>
      <c r="J1" s="46"/>
      <c r="K1" s="46"/>
      <c r="L1" s="46"/>
      <c r="M1" s="46"/>
      <c r="N1" s="94"/>
      <c r="O1" s="95"/>
      <c r="P1" s="95"/>
      <c r="Q1" s="96"/>
      <c r="R1" s="95"/>
      <c r="S1" s="49"/>
    </row>
    <row r="2" spans="1:20" s="192" customFormat="1" x14ac:dyDescent="0.25">
      <c r="A2" s="132" t="str">
        <f>ProgVersion</f>
        <v>Stand: 21.07.2026</v>
      </c>
      <c r="B2" s="132"/>
      <c r="C2" s="132"/>
      <c r="D2" s="132"/>
      <c r="E2" s="132"/>
      <c r="F2" s="191"/>
      <c r="G2" s="132"/>
      <c r="H2" s="132"/>
      <c r="I2" s="132"/>
      <c r="J2" s="132"/>
      <c r="K2" s="132"/>
      <c r="L2" s="132"/>
      <c r="M2" s="132"/>
      <c r="N2" s="48"/>
      <c r="O2" s="49"/>
      <c r="P2" s="49"/>
      <c r="Q2" s="50"/>
      <c r="R2" s="49"/>
      <c r="S2" s="49"/>
    </row>
    <row r="3" spans="1:20" s="103" customFormat="1" x14ac:dyDescent="0.25">
      <c r="A3" s="46"/>
      <c r="B3" s="46"/>
      <c r="C3" s="46"/>
      <c r="D3" s="46"/>
      <c r="E3" s="46"/>
      <c r="F3" s="131"/>
      <c r="G3" s="47"/>
      <c r="H3" s="47"/>
      <c r="J3" s="47"/>
      <c r="K3" s="47"/>
      <c r="L3" s="47"/>
      <c r="M3" s="132"/>
      <c r="N3" s="48"/>
      <c r="O3" s="49"/>
      <c r="P3" s="49"/>
      <c r="Q3" s="50"/>
      <c r="R3" s="49"/>
      <c r="S3" s="49"/>
    </row>
    <row r="4" spans="1:20" s="103" customFormat="1" x14ac:dyDescent="0.25">
      <c r="A4" s="49"/>
      <c r="B4" s="46"/>
      <c r="C4" s="46"/>
      <c r="D4" s="46"/>
      <c r="E4" s="46"/>
      <c r="F4" s="131"/>
      <c r="G4" s="47"/>
      <c r="H4" s="47"/>
      <c r="I4" s="139"/>
      <c r="J4" s="47"/>
      <c r="K4" s="47"/>
      <c r="L4" s="47"/>
      <c r="M4" s="132"/>
      <c r="N4" s="48"/>
      <c r="O4" s="49"/>
      <c r="P4" s="49"/>
      <c r="Q4" s="50"/>
      <c r="R4" s="49"/>
      <c r="S4" s="49"/>
    </row>
    <row r="5" spans="1:20" s="104" customFormat="1" x14ac:dyDescent="0.25">
      <c r="A5" s="8"/>
      <c r="B5" s="8"/>
      <c r="C5" s="6" t="s">
        <v>52</v>
      </c>
      <c r="D5" s="6" t="s">
        <v>103</v>
      </c>
      <c r="E5" s="6" t="s">
        <v>103</v>
      </c>
      <c r="F5" s="6" t="s">
        <v>103</v>
      </c>
      <c r="G5" s="6" t="s">
        <v>53</v>
      </c>
      <c r="H5" s="6" t="s">
        <v>59</v>
      </c>
      <c r="I5" s="6" t="s">
        <v>7</v>
      </c>
      <c r="K5" s="6" t="s">
        <v>122</v>
      </c>
      <c r="L5" s="6"/>
      <c r="M5" s="193"/>
      <c r="N5" s="6"/>
      <c r="Q5" s="8" t="s">
        <v>61</v>
      </c>
      <c r="R5" s="8" t="s">
        <v>105</v>
      </c>
    </row>
    <row r="6" spans="1:20" s="104" customFormat="1" x14ac:dyDescent="0.25">
      <c r="A6" s="172" t="s">
        <v>2</v>
      </c>
      <c r="B6" s="172" t="s">
        <v>98</v>
      </c>
      <c r="C6" s="171" t="s">
        <v>29</v>
      </c>
      <c r="D6" s="171" t="s">
        <v>95</v>
      </c>
      <c r="E6" s="171" t="s">
        <v>29</v>
      </c>
      <c r="F6" s="171" t="s">
        <v>60</v>
      </c>
      <c r="G6" s="172" t="s">
        <v>54</v>
      </c>
      <c r="H6" s="172" t="s">
        <v>58</v>
      </c>
      <c r="I6" s="172" t="s">
        <v>8</v>
      </c>
      <c r="J6" s="172" t="s">
        <v>28</v>
      </c>
      <c r="K6" s="172" t="s">
        <v>3</v>
      </c>
      <c r="L6" s="172" t="s">
        <v>11</v>
      </c>
      <c r="M6" s="173" t="s">
        <v>9</v>
      </c>
      <c r="N6" s="172" t="s">
        <v>97</v>
      </c>
      <c r="O6" s="172" t="s">
        <v>121</v>
      </c>
      <c r="P6" s="171" t="s">
        <v>15</v>
      </c>
      <c r="Q6" s="172" t="s">
        <v>78</v>
      </c>
      <c r="R6" s="172" t="s">
        <v>78</v>
      </c>
      <c r="S6" s="171" t="s">
        <v>88</v>
      </c>
    </row>
    <row r="7" spans="1:20" s="104" customFormat="1" x14ac:dyDescent="0.25">
      <c r="A7" s="10">
        <v>-1</v>
      </c>
      <c r="B7" s="10"/>
      <c r="C7" s="10"/>
      <c r="D7" s="10"/>
      <c r="E7" s="10"/>
      <c r="F7" s="8"/>
      <c r="G7" s="10"/>
      <c r="H7" s="109"/>
      <c r="I7" s="9"/>
      <c r="J7" s="9"/>
      <c r="K7" s="6"/>
      <c r="L7" s="7"/>
      <c r="M7" s="166">
        <f>Kredit1</f>
        <v>0</v>
      </c>
      <c r="N7" s="10"/>
      <c r="O7" s="10"/>
      <c r="P7" s="10"/>
      <c r="Q7" s="6"/>
      <c r="R7" s="8"/>
      <c r="S7" s="158"/>
    </row>
    <row r="8" spans="1:20" s="105" customFormat="1" x14ac:dyDescent="0.25">
      <c r="A8" s="10">
        <v>0</v>
      </c>
      <c r="B8" s="39">
        <f>IBNJahr</f>
        <v>2027</v>
      </c>
      <c r="C8" s="10">
        <f>VLOOKUP(IBNMonat,Solarertrag!C2:D13,2,TRUE)*Stromertrag*kWp</f>
        <v>9405</v>
      </c>
      <c r="D8" s="164">
        <f t="shared" ref="D8:D28" si="0">IF(Volleinspeisung="ja",0,(Direktnutzung+BatteriespeicherJN*EigennutzungSpeicher*(1-Ladeverluste)*(1-Speicherdegradation)^A8))</f>
        <v>0.45750000000000002</v>
      </c>
      <c r="E8" s="10">
        <f>C8*D8</f>
        <v>4302.7875000000004</v>
      </c>
      <c r="F8" s="10">
        <f t="shared" ref="F8:F28" si="1">E8*IF(Gewerbe="ja",1,1.19)*StrompreisNetto*(1+Strompreissteigerung)^A8</f>
        <v>1433.6887950000003</v>
      </c>
      <c r="G8" s="10">
        <f>IF(AND(Direktvermarktung="ja",IBNJahr&lt;2027),0,1)*C8*(1-(Direktnutzung+BatteriespeicherJN*Direktnutzung_Batteriespeicher))*EEG_Vergütung</f>
        <v>244.53</v>
      </c>
      <c r="H8" s="10">
        <f>IF(AND(Direktvermarktung="ja",IBNJahr&lt;2027),1,0)*(StromerlösDirektvermarktung+Parameter!B59)*C8*(1-(Direktnutzung+BatteriespeicherJN*Direktnutzung_Batteriespeicher))*(1+Parameter!B$58)^A8</f>
        <v>0</v>
      </c>
      <c r="I8" s="10">
        <f>-Vorlaufkosten-LfdKosten*(1+Inflationsrate)^A8</f>
        <v>-495</v>
      </c>
      <c r="J8" s="10">
        <f>-Dachmiete</f>
        <v>0</v>
      </c>
      <c r="K8" s="10">
        <f>-(13-IBNMonat)/12*M7*Zinssatz1</f>
        <v>0</v>
      </c>
      <c r="L8" s="10">
        <f t="shared" ref="L8:L28" si="2">IF(OR(A8&gt;Laufzeit1,A8&lt;Tilgungsfrei1),0,IF(A8=Tilgungsfrei1,-M$7/(Laufzeit1-Tilgungsfrei1)*(13-IBNMonat)/12,IF(A8=Laufzeit1,-M$7/(Laufzeit1-Tilgungsfrei1)*(IBNMonat-1)/12,-M$7/(Laufzeit1-Tilgungsfrei1))))</f>
        <v>0</v>
      </c>
      <c r="M8" s="113">
        <f t="shared" ref="M8:M18" si="3">M7+L8</f>
        <v>0</v>
      </c>
      <c r="N8" s="10">
        <f>-Anlagenpreis+SUM(F8:L8)-Bereitstellung1*Kredit1</f>
        <v>-15816.781204999999</v>
      </c>
      <c r="O8" s="10">
        <f t="shared" ref="O8:O28" si="4">N8/(1+ZinssatzBarwert)^A8</f>
        <v>-15816.781204999999</v>
      </c>
      <c r="P8" s="10">
        <f>P7+O8</f>
        <v>-15816.781204999999</v>
      </c>
      <c r="Q8" s="10">
        <f t="shared" ref="Q8:Q28" si="5">-(I8+J8)/(1+ZinssatzBarwert)^A8</f>
        <v>495</v>
      </c>
      <c r="R8" s="9">
        <f t="shared" ref="R8:R28" si="6">C8/(1+ZinssatzBarwert)^A8</f>
        <v>9405</v>
      </c>
      <c r="S8" s="162">
        <v>1</v>
      </c>
    </row>
    <row r="9" spans="1:20" s="103" customFormat="1" ht="12.6" customHeight="1" x14ac:dyDescent="0.25">
      <c r="A9" s="10">
        <v>1</v>
      </c>
      <c r="B9" s="39">
        <f>B8+1</f>
        <v>2028</v>
      </c>
      <c r="C9" s="10">
        <f t="shared" ref="C9:C27" si="7">Stromertrag*kWp*(1-Ertragsminderung)^A9</f>
        <v>9471.5</v>
      </c>
      <c r="D9" s="164">
        <f t="shared" si="0"/>
        <v>0.45334999999999998</v>
      </c>
      <c r="E9" s="10">
        <f t="shared" ref="E9:E28" si="8">C9*D9</f>
        <v>4293.9045249999999</v>
      </c>
      <c r="F9" s="10">
        <f t="shared" si="1"/>
        <v>1459.3435674846</v>
      </c>
      <c r="G9" s="10">
        <f>IF(AND(Direktvermarktung="ja",IBNJahr&lt;2027),0,1)*C9*(1-(Direktnutzung+BatteriespeicherJN*Direktnutzung_Batteriespeicher))*EEG_Vergütung</f>
        <v>246.25899999999999</v>
      </c>
      <c r="H9" s="10">
        <f>IF(AND(Direktvermarktung="ja",IBNJahr&lt;2027),1,0)*(StromerlösDirektvermarktung+Parameter!B60)*C9*(1-(Direktnutzung+BatteriespeicherJN*Direktnutzung_Batteriespeicher))*(1+Parameter!B$58)^A9</f>
        <v>0</v>
      </c>
      <c r="I9" s="10">
        <f t="shared" ref="I9:I28" si="9">-LfdKosten*(1+Inflationsrate)^A9</f>
        <v>-260.10000000000002</v>
      </c>
      <c r="J9" s="10">
        <f t="shared" ref="J9:J28" si="10">J8*(1+Inflationsrate)</f>
        <v>0</v>
      </c>
      <c r="K9" s="10">
        <f t="shared" ref="K9:K28" si="11">IF(A9=Laufzeit1,IF(A9&gt;Zinsbindung1,-M8*Zinssatz1NachZinsbindung*(13-IBNMonat)/12,-M8*Zinssatz1*(13-IBNMonat)/12),IF(A9&lt;Zinsbindung1,-M8*Zinssatz1,-M8*Zinssatz1NachZinsbindung))</f>
        <v>0</v>
      </c>
      <c r="L9" s="10">
        <f t="shared" si="2"/>
        <v>0</v>
      </c>
      <c r="M9" s="113">
        <f t="shared" si="3"/>
        <v>0</v>
      </c>
      <c r="N9" s="10">
        <f t="shared" ref="N9:N28" si="12">SUM(F9:L9)</f>
        <v>1445.5025674846001</v>
      </c>
      <c r="O9" s="10">
        <f t="shared" si="4"/>
        <v>1403.4005509559224</v>
      </c>
      <c r="P9" s="10">
        <f>P8+O9</f>
        <v>-14413.380654044076</v>
      </c>
      <c r="Q9" s="10">
        <f t="shared" si="5"/>
        <v>252.52427184466021</v>
      </c>
      <c r="R9" s="9">
        <f t="shared" si="6"/>
        <v>9195.6310679611652</v>
      </c>
      <c r="S9" s="162">
        <v>1</v>
      </c>
    </row>
    <row r="10" spans="1:20" s="103" customFormat="1" x14ac:dyDescent="0.25">
      <c r="A10" s="10">
        <v>2</v>
      </c>
      <c r="B10" s="39">
        <f t="shared" ref="B10:B28" si="13">B9+1</f>
        <v>2029</v>
      </c>
      <c r="C10" s="10">
        <f t="shared" si="7"/>
        <v>9443.085500000001</v>
      </c>
      <c r="D10" s="164">
        <f t="shared" si="0"/>
        <v>0.44928299999999999</v>
      </c>
      <c r="E10" s="10">
        <f t="shared" si="8"/>
        <v>4242.6177826965004</v>
      </c>
      <c r="F10" s="10">
        <f t="shared" si="1"/>
        <v>1470.7513111003307</v>
      </c>
      <c r="G10" s="10">
        <f>IF(AND(Direktvermarktung="ja",IBNJahr&lt;2027),0,1)*C10*(1-(Direktnutzung+BatteriespeicherJN*Direktnutzung_Batteriespeicher))*EEG_Vergütung</f>
        <v>245.52022300000002</v>
      </c>
      <c r="H10" s="10">
        <f>IF(AND(Direktvermarktung="ja",IBNJahr&lt;2027),1,0)*(StromerlösDirektvermarktung+Parameter!B61)*C10*(1-(Direktnutzung+BatteriespeicherJN*Direktnutzung_Batteriespeicher))*(1+Parameter!B$58)^A10</f>
        <v>0</v>
      </c>
      <c r="I10" s="10">
        <f t="shared" si="9"/>
        <v>-265.30200000000002</v>
      </c>
      <c r="J10" s="10">
        <f t="shared" si="10"/>
        <v>0</v>
      </c>
      <c r="K10" s="10">
        <f t="shared" si="11"/>
        <v>0</v>
      </c>
      <c r="L10" s="10">
        <f t="shared" si="2"/>
        <v>0</v>
      </c>
      <c r="M10" s="113">
        <f t="shared" si="3"/>
        <v>0</v>
      </c>
      <c r="N10" s="10">
        <f t="shared" si="12"/>
        <v>1450.9695341003307</v>
      </c>
      <c r="O10" s="10">
        <f t="shared" si="4"/>
        <v>1367.6779471206812</v>
      </c>
      <c r="P10" s="10">
        <f t="shared" ref="P10:P27" si="14">P9+O10</f>
        <v>-13045.702706923395</v>
      </c>
      <c r="Q10" s="10">
        <f t="shared" si="5"/>
        <v>250.07257988500334</v>
      </c>
      <c r="R10" s="9">
        <f t="shared" si="6"/>
        <v>8901.0137619002744</v>
      </c>
      <c r="S10" s="162">
        <v>1</v>
      </c>
    </row>
    <row r="11" spans="1:20" s="103" customFormat="1" x14ac:dyDescent="0.25">
      <c r="A11" s="10">
        <v>3</v>
      </c>
      <c r="B11" s="39">
        <f t="shared" si="13"/>
        <v>2030</v>
      </c>
      <c r="C11" s="10">
        <f t="shared" si="7"/>
        <v>9414.7562435</v>
      </c>
      <c r="D11" s="164">
        <f t="shared" si="0"/>
        <v>0.44529733999999999</v>
      </c>
      <c r="E11" s="10">
        <f t="shared" si="8"/>
        <v>4192.3659119789418</v>
      </c>
      <c r="F11" s="10">
        <f t="shared" si="1"/>
        <v>1482.3975519404869</v>
      </c>
      <c r="G11" s="10">
        <f>IF(IBNJahr&gt;2026,0,1)*IF(Direktvermarktung="ja",0,1)*C11*(1-(Direktnutzung+BatteriespeicherJN*Direktnutzung_Batteriespeicher))*EEG_Vergütung</f>
        <v>0</v>
      </c>
      <c r="H11" s="10">
        <f>IF(Direktvermarktung="nein",0,(StromerlösDirektvermarktung+Parameter!B59)*C11*(1-(Direktnutzung+BatteriespeicherJN*Direktnutzung_Batteriespeicher))*(1+Parameter!B$58)^A11)</f>
        <v>0</v>
      </c>
      <c r="I11" s="10">
        <f>-(LfdKosten+IF(Direktvermarktung="ja",Parameter!$B$60,0))*(1+Inflationsrate)^A11-IF(Direktvermarktung="ja",Parameter!$B$61,0)</f>
        <v>-270.60803999999996</v>
      </c>
      <c r="J11" s="10">
        <f t="shared" si="10"/>
        <v>0</v>
      </c>
      <c r="K11" s="10">
        <f t="shared" si="11"/>
        <v>0</v>
      </c>
      <c r="L11" s="10">
        <f t="shared" si="2"/>
        <v>0</v>
      </c>
      <c r="M11" s="113">
        <f t="shared" si="3"/>
        <v>0</v>
      </c>
      <c r="N11" s="10">
        <f t="shared" si="12"/>
        <v>1211.789511940487</v>
      </c>
      <c r="O11" s="10">
        <f t="shared" si="4"/>
        <v>1108.9590647439727</v>
      </c>
      <c r="P11" s="10">
        <f t="shared" si="14"/>
        <v>-11936.743642179423</v>
      </c>
      <c r="Q11" s="10">
        <f t="shared" si="5"/>
        <v>247.64469075990615</v>
      </c>
      <c r="R11" s="9">
        <f t="shared" si="6"/>
        <v>8615.8356510821086</v>
      </c>
      <c r="S11" s="162">
        <v>1</v>
      </c>
      <c r="T11" s="105"/>
    </row>
    <row r="12" spans="1:20" s="103" customFormat="1" x14ac:dyDescent="0.25">
      <c r="A12" s="10">
        <v>4</v>
      </c>
      <c r="B12" s="39">
        <f t="shared" si="13"/>
        <v>2031</v>
      </c>
      <c r="C12" s="10">
        <f t="shared" si="7"/>
        <v>9386.5119747695007</v>
      </c>
      <c r="D12" s="164">
        <f t="shared" si="0"/>
        <v>0.44139139319999998</v>
      </c>
      <c r="E12" s="10">
        <f t="shared" si="8"/>
        <v>4143.1255978319932</v>
      </c>
      <c r="F12" s="10">
        <f t="shared" si="1"/>
        <v>1494.2861763521905</v>
      </c>
      <c r="G12" s="10">
        <f>IF(IBNJahr&gt;2026,0,1)*IF(Direktvermarktung="ja",0,1)*C12*(1-(Direktnutzung+BatteriespeicherJN*Direktnutzung_Batteriespeicher))*EEG_Vergütung</f>
        <v>0</v>
      </c>
      <c r="H12" s="10">
        <f>IF(Direktvermarktung="nein",0,(StromerlösDirektvermarktung+Parameter!B59)*C12*(1-(Direktnutzung+BatteriespeicherJN*Direktnutzung_Batteriespeicher))*(1+Parameter!B$58)^A12)</f>
        <v>0</v>
      </c>
      <c r="I12" s="10">
        <f>-(LfdKosten+IF(Direktvermarktung="ja",Parameter!$B$60,0))*(1+Inflationsrate)^A12</f>
        <v>-276.0202008</v>
      </c>
      <c r="J12" s="10">
        <f t="shared" si="10"/>
        <v>0</v>
      </c>
      <c r="K12" s="10">
        <f t="shared" si="11"/>
        <v>0</v>
      </c>
      <c r="L12" s="10">
        <f t="shared" si="2"/>
        <v>0</v>
      </c>
      <c r="M12" s="113">
        <f t="shared" si="3"/>
        <v>0</v>
      </c>
      <c r="N12" s="10">
        <f t="shared" si="12"/>
        <v>1218.2659755521904</v>
      </c>
      <c r="O12" s="10">
        <f t="shared" si="4"/>
        <v>1082.4135401944925</v>
      </c>
      <c r="P12" s="10">
        <f t="shared" si="14"/>
        <v>-10854.33010198493</v>
      </c>
      <c r="Q12" s="10">
        <f t="shared" si="5"/>
        <v>245.24037337388768</v>
      </c>
      <c r="R12" s="9">
        <f t="shared" si="6"/>
        <v>8339.7943146882171</v>
      </c>
      <c r="S12" s="162">
        <v>1</v>
      </c>
    </row>
    <row r="13" spans="1:20" s="103" customFormat="1" x14ac:dyDescent="0.25">
      <c r="A13" s="10">
        <v>5</v>
      </c>
      <c r="B13" s="39">
        <f t="shared" si="13"/>
        <v>2032</v>
      </c>
      <c r="C13" s="10">
        <f t="shared" si="7"/>
        <v>9358.3524388451915</v>
      </c>
      <c r="D13" s="164">
        <f t="shared" si="0"/>
        <v>0.43756356533599994</v>
      </c>
      <c r="E13" s="10">
        <f t="shared" si="8"/>
        <v>4094.8740588119522</v>
      </c>
      <c r="F13" s="10">
        <f t="shared" si="1"/>
        <v>1506.4211370400008</v>
      </c>
      <c r="G13" s="10">
        <f>IF(IBNJahr&gt;2026,0,1)*IF(Direktvermarktung="ja",0,1)*C13*(1-(Direktnutzung+BatteriespeicherJN*Direktnutzung_Batteriespeicher))*EEG_Vergütung</f>
        <v>0</v>
      </c>
      <c r="H13" s="10">
        <f>IF(Direktvermarktung="nein",0,(StromerlösDirektvermarktung+Parameter!B59)*C13*(1-(Direktnutzung+BatteriespeicherJN*Direktnutzung_Batteriespeicher))*(1+Parameter!B$58)^A13)</f>
        <v>0</v>
      </c>
      <c r="I13" s="10">
        <f>-(LfdKosten+IF(Direktvermarktung="ja",Parameter!$B$60,0))*(1+Inflationsrate)^A13</f>
        <v>-281.54060481599998</v>
      </c>
      <c r="J13" s="10">
        <f t="shared" si="10"/>
        <v>0</v>
      </c>
      <c r="K13" s="10">
        <f t="shared" si="11"/>
        <v>0</v>
      </c>
      <c r="L13" s="10">
        <f t="shared" si="2"/>
        <v>0</v>
      </c>
      <c r="M13" s="113">
        <f t="shared" si="3"/>
        <v>0</v>
      </c>
      <c r="N13" s="10">
        <f t="shared" si="12"/>
        <v>1224.8805322240007</v>
      </c>
      <c r="O13" s="10">
        <f t="shared" si="4"/>
        <v>1056.5927069175732</v>
      </c>
      <c r="P13" s="10">
        <f t="shared" si="14"/>
        <v>-9797.7373950673573</v>
      </c>
      <c r="Q13" s="10">
        <f t="shared" si="5"/>
        <v>242.85939887511208</v>
      </c>
      <c r="R13" s="9">
        <f t="shared" si="6"/>
        <v>8072.5970211108279</v>
      </c>
      <c r="S13" s="162">
        <v>1</v>
      </c>
    </row>
    <row r="14" spans="1:20" s="103" customFormat="1" x14ac:dyDescent="0.25">
      <c r="A14" s="10">
        <v>6</v>
      </c>
      <c r="B14" s="39">
        <f t="shared" si="13"/>
        <v>2033</v>
      </c>
      <c r="C14" s="10">
        <f t="shared" si="7"/>
        <v>9330.2773815286564</v>
      </c>
      <c r="D14" s="164">
        <f t="shared" si="0"/>
        <v>0.43381229402927995</v>
      </c>
      <c r="E14" s="10">
        <f t="shared" si="8"/>
        <v>4047.5890348104499</v>
      </c>
      <c r="F14" s="10">
        <f t="shared" si="1"/>
        <v>1518.8064541882413</v>
      </c>
      <c r="G14" s="10">
        <f>IF(IBNJahr&gt;2026,0,1)*IF(Direktvermarktung="ja",0,1)*C14*(1-(Direktnutzung+BatteriespeicherJN*Direktnutzung_Batteriespeicher))*EEG_Vergütung</f>
        <v>0</v>
      </c>
      <c r="H14" s="10">
        <f>IF(Direktvermarktung="nein",0,(StromerlösDirektvermarktung+Parameter!B59)*C14*(1-(Direktnutzung+BatteriespeicherJN*Direktnutzung_Batteriespeicher))*(1+Parameter!B$58)^A14)</f>
        <v>0</v>
      </c>
      <c r="I14" s="10">
        <f>-(LfdKosten+IF(Direktvermarktung="ja",Parameter!$B$60,0))*(1+Inflationsrate)^A14</f>
        <v>-287.17141691232001</v>
      </c>
      <c r="J14" s="10">
        <f t="shared" si="10"/>
        <v>0</v>
      </c>
      <c r="K14" s="10">
        <f t="shared" si="11"/>
        <v>0</v>
      </c>
      <c r="L14" s="10">
        <f t="shared" si="2"/>
        <v>0</v>
      </c>
      <c r="M14" s="113">
        <f t="shared" si="3"/>
        <v>0</v>
      </c>
      <c r="N14" s="10">
        <f t="shared" si="12"/>
        <v>1231.6350372759214</v>
      </c>
      <c r="O14" s="10">
        <f t="shared" si="4"/>
        <v>1031.4749536985701</v>
      </c>
      <c r="P14" s="10">
        <f t="shared" si="14"/>
        <v>-8766.2624413687881</v>
      </c>
      <c r="Q14" s="10">
        <f t="shared" si="5"/>
        <v>240.50154063360614</v>
      </c>
      <c r="R14" s="9">
        <f t="shared" si="6"/>
        <v>7813.9604175218401</v>
      </c>
      <c r="S14" s="162">
        <f>IF(P14&lt;0,1,0)</f>
        <v>1</v>
      </c>
    </row>
    <row r="15" spans="1:20" s="103" customFormat="1" x14ac:dyDescent="0.25">
      <c r="A15" s="10">
        <v>7</v>
      </c>
      <c r="B15" s="39">
        <f t="shared" si="13"/>
        <v>2034</v>
      </c>
      <c r="C15" s="10">
        <f t="shared" si="7"/>
        <v>9302.2865493840709</v>
      </c>
      <c r="D15" s="164">
        <f t="shared" si="0"/>
        <v>0.43013604814869433</v>
      </c>
      <c r="E15" s="10">
        <f t="shared" si="8"/>
        <v>4001.2487750988184</v>
      </c>
      <c r="F15" s="10">
        <f t="shared" si="1"/>
        <v>1531.4462166023291</v>
      </c>
      <c r="G15" s="10">
        <f>IF(IBNJahr&gt;2026,0,1)*IF(Direktvermarktung="ja",0,1)*C15*(1-(Direktnutzung+BatteriespeicherJN*Direktnutzung_Batteriespeicher))*EEG_Vergütung</f>
        <v>0</v>
      </c>
      <c r="H15" s="10">
        <f>IF(Direktvermarktung="nein",0,StromerlösDirektvermarktung*C15*(1-(Direktnutzung+BatteriespeicherJN*Direktnutzung_Batteriespeicher))*(1+Parameter!B$58)^A15)</f>
        <v>0</v>
      </c>
      <c r="I15" s="10">
        <f>-(LfdKosten+IF(Direktvermarktung="ja",Parameter!$B$60,0))*(1+Inflationsrate)^A15</f>
        <v>-292.91484525056637</v>
      </c>
      <c r="J15" s="10">
        <f t="shared" si="10"/>
        <v>0</v>
      </c>
      <c r="K15" s="10">
        <f t="shared" si="11"/>
        <v>0</v>
      </c>
      <c r="L15" s="10">
        <f t="shared" si="2"/>
        <v>0</v>
      </c>
      <c r="M15" s="113">
        <f t="shared" si="3"/>
        <v>0</v>
      </c>
      <c r="N15" s="10">
        <f t="shared" si="12"/>
        <v>1238.5313713517626</v>
      </c>
      <c r="O15" s="10">
        <f t="shared" si="4"/>
        <v>1007.0393445785611</v>
      </c>
      <c r="P15" s="10">
        <f t="shared" si="14"/>
        <v>-7759.2230967902269</v>
      </c>
      <c r="Q15" s="10">
        <f t="shared" si="5"/>
        <v>238.16657421968759</v>
      </c>
      <c r="R15" s="9">
        <f t="shared" si="6"/>
        <v>7563.6102293876456</v>
      </c>
      <c r="S15" s="162">
        <f t="shared" ref="S15:S28" si="15">IF(P15&lt;0,1,0)</f>
        <v>1</v>
      </c>
    </row>
    <row r="16" spans="1:20" s="103" customFormat="1" x14ac:dyDescent="0.25">
      <c r="A16" s="10">
        <v>8</v>
      </c>
      <c r="B16" s="39">
        <f t="shared" si="13"/>
        <v>2035</v>
      </c>
      <c r="C16" s="10">
        <f t="shared" si="7"/>
        <v>9274.3796897359189</v>
      </c>
      <c r="D16" s="164">
        <f t="shared" si="0"/>
        <v>0.42653332718572046</v>
      </c>
      <c r="E16" s="10">
        <f t="shared" si="8"/>
        <v>3955.8320266467313</v>
      </c>
      <c r="F16" s="10">
        <f t="shared" si="1"/>
        <v>1544.3445828694571</v>
      </c>
      <c r="G16" s="10">
        <f>IF(IBNJahr&gt;2026,0,1)*IF(Direktvermarktung="ja",0,1)*C16*(1-(Direktnutzung+BatteriespeicherJN*Direktnutzung_Batteriespeicher))*EEG_Vergütung</f>
        <v>0</v>
      </c>
      <c r="H16" s="10">
        <f>IF(Direktvermarktung="nein",0,StromerlösDirektvermarktung*C16*(1-(Direktnutzung+BatteriespeicherJN*Direktnutzung_Batteriespeicher))*(1+Parameter!B$58)^A16)</f>
        <v>0</v>
      </c>
      <c r="I16" s="10">
        <f>-(LfdKosten+IF(Direktvermarktung="ja",Parameter!$B$60,0))*(1+Inflationsrate)^A16</f>
        <v>-298.77314215557772</v>
      </c>
      <c r="J16" s="10">
        <f t="shared" si="10"/>
        <v>0</v>
      </c>
      <c r="K16" s="10">
        <f t="shared" si="11"/>
        <v>0</v>
      </c>
      <c r="L16" s="10">
        <f t="shared" si="2"/>
        <v>0</v>
      </c>
      <c r="M16" s="113">
        <f t="shared" si="3"/>
        <v>0</v>
      </c>
      <c r="N16" s="10">
        <f t="shared" si="12"/>
        <v>1245.5714407138794</v>
      </c>
      <c r="O16" s="10">
        <f t="shared" si="4"/>
        <v>983.26559729724943</v>
      </c>
      <c r="P16" s="10">
        <f t="shared" si="14"/>
        <v>-6775.9574994929771</v>
      </c>
      <c r="Q16" s="10">
        <f t="shared" si="5"/>
        <v>235.8542773826033</v>
      </c>
      <c r="R16" s="9">
        <f t="shared" si="6"/>
        <v>7321.280969611149</v>
      </c>
      <c r="S16" s="162">
        <f t="shared" si="15"/>
        <v>1</v>
      </c>
    </row>
    <row r="17" spans="1:19" s="103" customFormat="1" x14ac:dyDescent="0.25">
      <c r="A17" s="10">
        <v>9</v>
      </c>
      <c r="B17" s="39">
        <f t="shared" si="13"/>
        <v>2036</v>
      </c>
      <c r="C17" s="10">
        <f t="shared" si="7"/>
        <v>9246.5565506667099</v>
      </c>
      <c r="D17" s="164">
        <f t="shared" si="0"/>
        <v>0.42300266064200609</v>
      </c>
      <c r="E17" s="10">
        <f t="shared" si="8"/>
        <v>3911.3180227087887</v>
      </c>
      <c r="F17" s="10">
        <f t="shared" si="1"/>
        <v>1557.505782538934</v>
      </c>
      <c r="G17" s="10">
        <f>IF(IBNJahr&gt;2026,0,1)*IF(Direktvermarktung="ja",0,1)*C17*(1-(Direktnutzung+BatteriespeicherJN*Direktnutzung_Batteriespeicher))*EEG_Vergütung</f>
        <v>0</v>
      </c>
      <c r="H17" s="10">
        <f>IF(Direktvermarktung="nein",0,StromerlösDirektvermarktung*C17*(1-(Direktnutzung+BatteriespeicherJN*Direktnutzung_Batteriespeicher))*(1+Parameter!B$58)^A17)</f>
        <v>0</v>
      </c>
      <c r="I17" s="10">
        <f>-(LfdKosten+IF(Direktvermarktung="ja",Parameter!$B$60,0))*(1+Inflationsrate)^A17</f>
        <v>-304.74860499868925</v>
      </c>
      <c r="J17" s="10">
        <f t="shared" si="10"/>
        <v>0</v>
      </c>
      <c r="K17" s="10">
        <f t="shared" si="11"/>
        <v>0</v>
      </c>
      <c r="L17" s="10">
        <f t="shared" si="2"/>
        <v>0</v>
      </c>
      <c r="M17" s="113">
        <f t="shared" si="3"/>
        <v>0</v>
      </c>
      <c r="N17" s="10">
        <f t="shared" si="12"/>
        <v>1252.7571775402448</v>
      </c>
      <c r="O17" s="10">
        <f t="shared" si="4"/>
        <v>960.13406243041936</v>
      </c>
      <c r="P17" s="10">
        <f t="shared" si="14"/>
        <v>-5815.8234370625578</v>
      </c>
      <c r="Q17" s="10">
        <f t="shared" si="5"/>
        <v>233.56443002937411</v>
      </c>
      <c r="R17" s="9">
        <f t="shared" si="6"/>
        <v>7086.7156569925382</v>
      </c>
      <c r="S17" s="162">
        <f t="shared" si="15"/>
        <v>1</v>
      </c>
    </row>
    <row r="18" spans="1:19" s="103" customFormat="1" x14ac:dyDescent="0.25">
      <c r="A18" s="10">
        <v>10</v>
      </c>
      <c r="B18" s="39">
        <f t="shared" si="13"/>
        <v>2037</v>
      </c>
      <c r="C18" s="10">
        <f t="shared" si="7"/>
        <v>9218.8168810147108</v>
      </c>
      <c r="D18" s="164">
        <f t="shared" si="0"/>
        <v>0.41954260742916594</v>
      </c>
      <c r="E18" s="10">
        <f t="shared" si="8"/>
        <v>3867.6864716729228</v>
      </c>
      <c r="F18" s="10">
        <f t="shared" si="1"/>
        <v>1570.9341173225332</v>
      </c>
      <c r="G18" s="10">
        <f>IF(IBNJahr&gt;2026,0,1)*IF(Direktvermarktung="ja",0,1)*C18*(1-(Direktnutzung+BatteriespeicherJN*Direktnutzung_Batteriespeicher))*EEG_Vergütung</f>
        <v>0</v>
      </c>
      <c r="H18" s="10">
        <f>IF(Direktvermarktung="nein",0,StromerlösDirektvermarktung*C18*(1-(Direktnutzung+BatteriespeicherJN*Direktnutzung_Batteriespeicher))*(1+Parameter!B$58)^A18)</f>
        <v>0</v>
      </c>
      <c r="I18" s="10">
        <f>-(LfdKosten+BatteriespeicherJN*Ersatzbatterie+IF(Direktvermarktung="ja",Parameter!$B$60,0))*(1+Inflationsrate)^A18</f>
        <v>-3967.8268370829342</v>
      </c>
      <c r="J18" s="10">
        <f t="shared" si="10"/>
        <v>0</v>
      </c>
      <c r="K18" s="10">
        <f t="shared" si="11"/>
        <v>0</v>
      </c>
      <c r="L18" s="10">
        <f t="shared" si="2"/>
        <v>0</v>
      </c>
      <c r="M18" s="113">
        <f t="shared" si="3"/>
        <v>0</v>
      </c>
      <c r="N18" s="10">
        <f t="shared" si="12"/>
        <v>-2396.8927197604007</v>
      </c>
      <c r="O18" s="10">
        <f t="shared" si="4"/>
        <v>-1783.5132874339758</v>
      </c>
      <c r="P18" s="10">
        <f t="shared" si="14"/>
        <v>-7599.3367244965339</v>
      </c>
      <c r="Q18" s="10">
        <f t="shared" si="5"/>
        <v>2952.435804837331</v>
      </c>
      <c r="R18" s="9">
        <f t="shared" si="6"/>
        <v>6859.6655437102536</v>
      </c>
      <c r="S18" s="162">
        <f t="shared" si="15"/>
        <v>1</v>
      </c>
    </row>
    <row r="19" spans="1:19" s="103" customFormat="1" x14ac:dyDescent="0.25">
      <c r="A19" s="10">
        <v>11</v>
      </c>
      <c r="B19" s="39">
        <f t="shared" si="13"/>
        <v>2038</v>
      </c>
      <c r="C19" s="10">
        <f t="shared" si="7"/>
        <v>9191.1604303716667</v>
      </c>
      <c r="D19" s="164">
        <f t="shared" si="0"/>
        <v>0.41615175528058257</v>
      </c>
      <c r="E19" s="10">
        <f t="shared" si="8"/>
        <v>3824.9175461646037</v>
      </c>
      <c r="F19" s="10">
        <f t="shared" si="1"/>
        <v>1584.6339623151773</v>
      </c>
      <c r="G19" s="10">
        <f>IF(IBNJahr&gt;2026,0,1)*IF(Direktvermarktung="ja",0,1)*C19*(1-(Direktnutzung+BatteriespeicherJN*Direktnutzung_Batteriespeicher))*EEG_Vergütung</f>
        <v>0</v>
      </c>
      <c r="H19" s="10">
        <f>IF(Direktvermarktung="nein",0,StromerlösDirektvermarktung*C19*(1-(Direktnutzung+BatteriespeicherJN*Direktnutzung_Batteriespeicher))*(1+Parameter!B$58)^A19)</f>
        <v>0</v>
      </c>
      <c r="I19" s="10">
        <f>-(LfdKosten+IF(Direktvermarktung="ja",Parameter!$B$60,0))*(1+Inflationsrate)^A19</f>
        <v>-317.06044864063625</v>
      </c>
      <c r="J19" s="10">
        <f t="shared" si="10"/>
        <v>0</v>
      </c>
      <c r="K19" s="10">
        <f t="shared" si="11"/>
        <v>0</v>
      </c>
      <c r="L19" s="10">
        <f t="shared" si="2"/>
        <v>0</v>
      </c>
      <c r="M19" s="113">
        <f t="shared" ref="M19:M27" si="16">M18+L19</f>
        <v>0</v>
      </c>
      <c r="N19" s="10">
        <f t="shared" si="12"/>
        <v>1267.5735136745411</v>
      </c>
      <c r="O19" s="10">
        <f t="shared" si="4"/>
        <v>915.72207593154064</v>
      </c>
      <c r="P19" s="10">
        <f t="shared" si="14"/>
        <v>-6683.6146485649933</v>
      </c>
      <c r="Q19" s="10">
        <f t="shared" si="5"/>
        <v>229.05121406594475</v>
      </c>
      <c r="R19" s="9">
        <f t="shared" si="6"/>
        <v>6639.8898515331293</v>
      </c>
      <c r="S19" s="162">
        <f t="shared" si="15"/>
        <v>1</v>
      </c>
    </row>
    <row r="20" spans="1:19" s="103" customFormat="1" x14ac:dyDescent="0.25">
      <c r="A20" s="10">
        <v>12</v>
      </c>
      <c r="B20" s="39">
        <f t="shared" si="13"/>
        <v>2039</v>
      </c>
      <c r="C20" s="10">
        <f t="shared" si="7"/>
        <v>9163.5869490805508</v>
      </c>
      <c r="D20" s="164">
        <f t="shared" si="0"/>
        <v>0.41282872017497096</v>
      </c>
      <c r="E20" s="10">
        <f t="shared" si="8"/>
        <v>3782.9918724009908</v>
      </c>
      <c r="F20" s="10">
        <f t="shared" si="1"/>
        <v>1598.6097672363096</v>
      </c>
      <c r="G20" s="10">
        <f>IF(IBNJahr&gt;2026,0,1)*IF(Direktvermarktung="ja",0,1)*C20*(1-(Direktnutzung+BatteriespeicherJN*Direktnutzung_Batteriespeicher))*EEG_Vergütung</f>
        <v>0</v>
      </c>
      <c r="H20" s="10">
        <f>IF(Direktvermarktung="nein",0,StromerlösDirektvermarktung*C20*(1-(Direktnutzung+BatteriespeicherJN*Direktnutzung_Batteriespeicher))*(1+Parameter!B$58)^A20)</f>
        <v>0</v>
      </c>
      <c r="I20" s="10">
        <f>-(LfdKosten+IF(Direktvermarktung="ja",Parameter!$B$60,0))*(1+Inflationsrate)^A20</f>
        <v>-323.40165761344906</v>
      </c>
      <c r="J20" s="10">
        <f t="shared" si="10"/>
        <v>0</v>
      </c>
      <c r="K20" s="10">
        <f t="shared" si="11"/>
        <v>0</v>
      </c>
      <c r="L20" s="10">
        <f t="shared" si="2"/>
        <v>0</v>
      </c>
      <c r="M20" s="113">
        <f t="shared" si="16"/>
        <v>0</v>
      </c>
      <c r="N20" s="10">
        <f t="shared" si="12"/>
        <v>1275.2081096228605</v>
      </c>
      <c r="O20" s="10">
        <f t="shared" si="4"/>
        <v>894.40531114838973</v>
      </c>
      <c r="P20" s="10">
        <f t="shared" si="14"/>
        <v>-5789.2093374166034</v>
      </c>
      <c r="Q20" s="10">
        <f t="shared" si="5"/>
        <v>226.82741587112983</v>
      </c>
      <c r="R20" s="9">
        <f t="shared" si="6"/>
        <v>6427.1555164840092</v>
      </c>
      <c r="S20" s="162">
        <f t="shared" si="15"/>
        <v>1</v>
      </c>
    </row>
    <row r="21" spans="1:19" s="103" customFormat="1" x14ac:dyDescent="0.25">
      <c r="A21" s="10">
        <v>13</v>
      </c>
      <c r="B21" s="39">
        <f t="shared" si="13"/>
        <v>2040</v>
      </c>
      <c r="C21" s="10">
        <f t="shared" si="7"/>
        <v>9136.0961882333086</v>
      </c>
      <c r="D21" s="164">
        <f t="shared" si="0"/>
        <v>0.4095721457714715</v>
      </c>
      <c r="E21" s="10">
        <f t="shared" si="8"/>
        <v>3741.8905197892777</v>
      </c>
      <c r="F21" s="10">
        <f t="shared" si="1"/>
        <v>1612.866057692293</v>
      </c>
      <c r="G21" s="10">
        <f>IF(IBNJahr&gt;2026,0,1)*IF(Direktvermarktung="ja",0,1)*C21*(1-(Direktnutzung+BatteriespeicherJN*Direktnutzung_Batteriespeicher))*EEG_Vergütung</f>
        <v>0</v>
      </c>
      <c r="H21" s="10">
        <f>IF(Direktvermarktung="nein",0,StromerlösDirektvermarktung*C21*(1-(Direktnutzung+BatteriespeicherJN*Direktnutzung_Batteriespeicher))*(1+Parameter!B$58)^A21)</f>
        <v>0</v>
      </c>
      <c r="I21" s="10">
        <f>-(LfdKosten+IF(Direktvermarktung="ja",Parameter!$B$60,0))*(1+Inflationsrate)^A21</f>
        <v>-329.86969076571802</v>
      </c>
      <c r="J21" s="10">
        <f t="shared" si="10"/>
        <v>0</v>
      </c>
      <c r="K21" s="10">
        <f t="shared" si="11"/>
        <v>0</v>
      </c>
      <c r="L21" s="10">
        <f t="shared" si="2"/>
        <v>0</v>
      </c>
      <c r="M21" s="113">
        <f t="shared" si="16"/>
        <v>0</v>
      </c>
      <c r="N21" s="10">
        <f t="shared" si="12"/>
        <v>1282.9963669265749</v>
      </c>
      <c r="O21" s="10">
        <f t="shared" si="4"/>
        <v>873.65809526503017</v>
      </c>
      <c r="P21" s="10">
        <f t="shared" si="14"/>
        <v>-4915.5512421515732</v>
      </c>
      <c r="Q21" s="10">
        <f t="shared" si="5"/>
        <v>224.62520795005091</v>
      </c>
      <c r="R21" s="9">
        <f t="shared" si="6"/>
        <v>6221.2369416840365</v>
      </c>
      <c r="S21" s="162">
        <f t="shared" si="15"/>
        <v>1</v>
      </c>
    </row>
    <row r="22" spans="1:19" s="103" customFormat="1" x14ac:dyDescent="0.25">
      <c r="A22" s="10">
        <v>14</v>
      </c>
      <c r="B22" s="39">
        <f t="shared" si="13"/>
        <v>2041</v>
      </c>
      <c r="C22" s="10">
        <f t="shared" si="7"/>
        <v>9108.68789966861</v>
      </c>
      <c r="D22" s="164">
        <f t="shared" si="0"/>
        <v>0.40638070285604211</v>
      </c>
      <c r="E22" s="10">
        <f t="shared" si="8"/>
        <v>3701.5949907636559</v>
      </c>
      <c r="F22" s="10">
        <f t="shared" si="1"/>
        <v>1627.4074364602143</v>
      </c>
      <c r="G22" s="10">
        <f>IF(IBNJahr&gt;2026,0,1)*IF(Direktvermarktung="ja",0,1)*C22*(1-(Direktnutzung+BatteriespeicherJN*Direktnutzung_Batteriespeicher))*EEG_Vergütung</f>
        <v>0</v>
      </c>
      <c r="H22" s="10">
        <f>IF(Direktvermarktung="nein",0,StromerlösDirektvermarktung*C22*(1-(Direktnutzung+BatteriespeicherJN*Direktnutzung_Batteriespeicher))*(1+Parameter!B$58)^A22)</f>
        <v>0</v>
      </c>
      <c r="I22" s="10">
        <f>-(LfdKosten+IF(Direktvermarktung="ja",Parameter!$B$60,0))*(1+Inflationsrate)^A22</f>
        <v>-336.4670845810324</v>
      </c>
      <c r="J22" s="10">
        <f t="shared" si="10"/>
        <v>0</v>
      </c>
      <c r="K22" s="10">
        <f t="shared" si="11"/>
        <v>0</v>
      </c>
      <c r="L22" s="10">
        <f t="shared" si="2"/>
        <v>0</v>
      </c>
      <c r="M22" s="113">
        <f t="shared" si="16"/>
        <v>0</v>
      </c>
      <c r="N22" s="10">
        <f t="shared" si="12"/>
        <v>1290.9403518791819</v>
      </c>
      <c r="O22" s="10">
        <f t="shared" si="4"/>
        <v>853.46365287708102</v>
      </c>
      <c r="P22" s="10">
        <f t="shared" si="14"/>
        <v>-4062.0875892744921</v>
      </c>
      <c r="Q22" s="10">
        <f t="shared" si="5"/>
        <v>222.44438068839992</v>
      </c>
      <c r="R22" s="9">
        <f t="shared" si="6"/>
        <v>6021.9157581155187</v>
      </c>
      <c r="S22" s="162">
        <f t="shared" si="15"/>
        <v>1</v>
      </c>
    </row>
    <row r="23" spans="1:19" s="103" customFormat="1" x14ac:dyDescent="0.25">
      <c r="A23" s="10">
        <v>15</v>
      </c>
      <c r="B23" s="39">
        <f t="shared" si="13"/>
        <v>2042</v>
      </c>
      <c r="C23" s="10">
        <f t="shared" si="7"/>
        <v>9081.3618359696047</v>
      </c>
      <c r="D23" s="164">
        <f t="shared" si="0"/>
        <v>0.40325308879892119</v>
      </c>
      <c r="E23" s="10">
        <f t="shared" si="8"/>
        <v>3662.0872108553849</v>
      </c>
      <c r="F23" s="10">
        <f t="shared" si="1"/>
        <v>1642.2385847934245</v>
      </c>
      <c r="G23" s="10">
        <f>IF(IBNJahr&gt;2026,0,1)*IF(Direktvermarktung="ja",0,1)*C23*(1-(Direktnutzung+BatteriespeicherJN*Direktnutzung_Batteriespeicher))*EEG_Vergütung</f>
        <v>0</v>
      </c>
      <c r="H23" s="10">
        <f>IF(Direktvermarktung="nein",0,StromerlösDirektvermarktung*C23*(1-(Direktnutzung+BatteriespeicherJN*Direktnutzung_Batteriespeicher))*(1+Parameter!B$58)^A23)</f>
        <v>0</v>
      </c>
      <c r="I23" s="10">
        <f>-(LfdKosten+IF(Direktvermarktung="ja",Parameter!$B$60,0))*(1+Inflationsrate)^A23</f>
        <v>-343.19642627265296</v>
      </c>
      <c r="J23" s="10">
        <f t="shared" si="10"/>
        <v>0</v>
      </c>
      <c r="K23" s="10">
        <f t="shared" si="11"/>
        <v>0</v>
      </c>
      <c r="L23" s="10">
        <f t="shared" si="2"/>
        <v>0</v>
      </c>
      <c r="M23" s="113">
        <f t="shared" si="16"/>
        <v>0</v>
      </c>
      <c r="N23" s="10">
        <f t="shared" si="12"/>
        <v>1299.0421585207714</v>
      </c>
      <c r="O23" s="10">
        <f t="shared" si="4"/>
        <v>833.80572961857797</v>
      </c>
      <c r="P23" s="10">
        <f t="shared" si="14"/>
        <v>-3228.2818596559141</v>
      </c>
      <c r="Q23" s="10">
        <f t="shared" si="5"/>
        <v>220.28472650695906</v>
      </c>
      <c r="R23" s="9">
        <f t="shared" si="6"/>
        <v>5828.9805930496823</v>
      </c>
      <c r="S23" s="162">
        <f t="shared" si="15"/>
        <v>1</v>
      </c>
    </row>
    <row r="24" spans="1:19" s="103" customFormat="1" x14ac:dyDescent="0.25">
      <c r="A24" s="10">
        <v>16</v>
      </c>
      <c r="B24" s="39">
        <f t="shared" si="13"/>
        <v>2043</v>
      </c>
      <c r="C24" s="10">
        <f t="shared" si="7"/>
        <v>9054.1177504616953</v>
      </c>
      <c r="D24" s="164">
        <f t="shared" si="0"/>
        <v>0.40018802702294282</v>
      </c>
      <c r="E24" s="10">
        <f t="shared" si="8"/>
        <v>3623.3495189906712</v>
      </c>
      <c r="F24" s="10">
        <f t="shared" si="1"/>
        <v>1657.3642637492171</v>
      </c>
      <c r="G24" s="10">
        <f>IF(IBNJahr&gt;2026,0,1)*IF(Direktvermarktung="ja",0,1)*C24*(1-(Direktnutzung+BatteriespeicherJN*Direktnutzung_Batteriespeicher))*EEG_Vergütung</f>
        <v>0</v>
      </c>
      <c r="H24" s="10">
        <f>IF(Direktvermarktung="nein",0,StromerlösDirektvermarktung*C24*(1-(Direktnutzung+BatteriespeicherJN*Direktnutzung_Batteriespeicher))*(1+Parameter!B$58)^A24)</f>
        <v>0</v>
      </c>
      <c r="I24" s="10">
        <f>-(LfdKosten+IF(Direktvermarktung="ja",Parameter!$B$60,0))*(1+Inflationsrate)^A24</f>
        <v>-350.06035479810606</v>
      </c>
      <c r="J24" s="10">
        <f t="shared" si="10"/>
        <v>0</v>
      </c>
      <c r="K24" s="10">
        <f t="shared" si="11"/>
        <v>0</v>
      </c>
      <c r="L24" s="10">
        <f t="shared" si="2"/>
        <v>0</v>
      </c>
      <c r="M24" s="113">
        <f t="shared" si="16"/>
        <v>0</v>
      </c>
      <c r="N24" s="10">
        <f t="shared" si="12"/>
        <v>1307.303908951111</v>
      </c>
      <c r="O24" s="10">
        <f t="shared" si="4"/>
        <v>814.66857557155492</v>
      </c>
      <c r="P24" s="10">
        <f t="shared" si="14"/>
        <v>-2413.6132840843593</v>
      </c>
      <c r="Q24" s="10">
        <f t="shared" si="5"/>
        <v>218.14603984184302</v>
      </c>
      <c r="R24" s="9">
        <f t="shared" si="6"/>
        <v>5642.2268458937215</v>
      </c>
      <c r="S24" s="162">
        <f t="shared" si="15"/>
        <v>1</v>
      </c>
    </row>
    <row r="25" spans="1:19" s="103" customFormat="1" x14ac:dyDescent="0.25">
      <c r="A25" s="10">
        <v>17</v>
      </c>
      <c r="B25" s="39">
        <f t="shared" si="13"/>
        <v>2044</v>
      </c>
      <c r="C25" s="10">
        <f t="shared" si="7"/>
        <v>9026.9553972103113</v>
      </c>
      <c r="D25" s="164">
        <f t="shared" si="0"/>
        <v>0.39718426648248395</v>
      </c>
      <c r="E25" s="10">
        <f t="shared" si="8"/>
        <v>3585.3646580110772</v>
      </c>
      <c r="F25" s="10">
        <f t="shared" si="1"/>
        <v>1672.7893155389897</v>
      </c>
      <c r="G25" s="10">
        <f>IF(IBNJahr&gt;2026,0,1)*IF(Direktvermarktung="ja",0,1)*C25*(1-(Direktnutzung+BatteriespeicherJN*Direktnutzung_Batteriespeicher))*EEG_Vergütung</f>
        <v>0</v>
      </c>
      <c r="H25" s="10">
        <f>IF(Direktvermarktung="nein",0,StromerlösDirektvermarktung*C25*(1-(Direktnutzung+BatteriespeicherJN*Direktnutzung_Batteriespeicher))*(1+Parameter!B$58)^A25)</f>
        <v>0</v>
      </c>
      <c r="I25" s="10">
        <f>-(LfdKosten+IF(Direktvermarktung="ja",Parameter!$B$60,0))*(1+Inflationsrate)^A25</f>
        <v>-357.06156189406823</v>
      </c>
      <c r="J25" s="10">
        <f t="shared" si="10"/>
        <v>0</v>
      </c>
      <c r="K25" s="10">
        <f t="shared" si="11"/>
        <v>0</v>
      </c>
      <c r="L25" s="10">
        <f t="shared" si="2"/>
        <v>0</v>
      </c>
      <c r="M25" s="113">
        <f t="shared" si="16"/>
        <v>0</v>
      </c>
      <c r="N25" s="10">
        <f t="shared" si="12"/>
        <v>1315.7277536449214</v>
      </c>
      <c r="O25" s="10">
        <f t="shared" si="4"/>
        <v>796.03692920957508</v>
      </c>
      <c r="P25" s="10">
        <f t="shared" si="14"/>
        <v>-1617.5763548747841</v>
      </c>
      <c r="Q25" s="10">
        <f t="shared" si="5"/>
        <v>216.02811712493195</v>
      </c>
      <c r="R25" s="9">
        <f t="shared" si="6"/>
        <v>5461.4564712194579</v>
      </c>
      <c r="S25" s="162">
        <f t="shared" si="15"/>
        <v>1</v>
      </c>
    </row>
    <row r="26" spans="1:19" s="103" customFormat="1" x14ac:dyDescent="0.25">
      <c r="A26" s="10">
        <v>18</v>
      </c>
      <c r="B26" s="39">
        <f t="shared" si="13"/>
        <v>2045</v>
      </c>
      <c r="C26" s="10">
        <f t="shared" si="7"/>
        <v>8999.8745310186805</v>
      </c>
      <c r="D26" s="164">
        <f t="shared" si="0"/>
        <v>0.39424058115283422</v>
      </c>
      <c r="E26" s="10">
        <f t="shared" si="8"/>
        <v>3548.1157654113958</v>
      </c>
      <c r="F26" s="10">
        <f t="shared" si="1"/>
        <v>1688.5186649012915</v>
      </c>
      <c r="G26" s="10">
        <f>IF(IBNJahr&gt;2026,0,1)*IF(Direktvermarktung="ja",0,1)*C26*(1-(Direktnutzung+BatteriespeicherJN*Direktnutzung_Batteriespeicher))*EEG_Vergütung</f>
        <v>0</v>
      </c>
      <c r="H26" s="10">
        <f>IF(Direktvermarktung="nein",0,StromerlösDirektvermarktung*C26*(1-(Direktnutzung+BatteriespeicherJN*Direktnutzung_Batteriespeicher))*(1+Parameter!B$58)^A26)</f>
        <v>0</v>
      </c>
      <c r="I26" s="10">
        <f>-(LfdKosten+IF(Direktvermarktung="ja",Parameter!$B$60,0))*(1+Inflationsrate)^A26</f>
        <v>-364.20279313194953</v>
      </c>
      <c r="J26" s="10">
        <f t="shared" si="10"/>
        <v>0</v>
      </c>
      <c r="K26" s="10">
        <f t="shared" si="11"/>
        <v>0</v>
      </c>
      <c r="L26" s="10">
        <f t="shared" si="2"/>
        <v>0</v>
      </c>
      <c r="M26" s="113">
        <f t="shared" si="16"/>
        <v>0</v>
      </c>
      <c r="N26" s="10">
        <f t="shared" si="12"/>
        <v>1324.3158717693418</v>
      </c>
      <c r="O26" s="10">
        <f t="shared" si="4"/>
        <v>777.89600185796792</v>
      </c>
      <c r="P26" s="10">
        <f t="shared" si="14"/>
        <v>-839.68035301681618</v>
      </c>
      <c r="Q26" s="10">
        <f t="shared" si="5"/>
        <v>213.9307567644957</v>
      </c>
      <c r="R26" s="9">
        <f t="shared" si="6"/>
        <v>5286.4777687434944</v>
      </c>
      <c r="S26" s="162">
        <f t="shared" si="15"/>
        <v>1</v>
      </c>
    </row>
    <row r="27" spans="1:19" s="103" customFormat="1" x14ac:dyDescent="0.25">
      <c r="A27" s="10">
        <v>19</v>
      </c>
      <c r="B27" s="39">
        <f t="shared" si="13"/>
        <v>2046</v>
      </c>
      <c r="C27" s="10">
        <f t="shared" si="7"/>
        <v>8972.8749074256248</v>
      </c>
      <c r="D27" s="164">
        <f t="shared" si="0"/>
        <v>0.39135576952977758</v>
      </c>
      <c r="E27" s="10">
        <f t="shared" si="8"/>
        <v>3511.5863642899872</v>
      </c>
      <c r="F27" s="10">
        <f t="shared" si="1"/>
        <v>1704.5573204981354</v>
      </c>
      <c r="G27" s="10">
        <f>IF(IBNJahr&gt;2026,0,1)*IF(Direktvermarktung="ja",0,1)*C27*(1-(Direktnutzung+BatteriespeicherJN*Direktnutzung_Batteriespeicher))*EEG_Vergütung</f>
        <v>0</v>
      </c>
      <c r="H27" s="10">
        <f>IF(Direktvermarktung="nein",0,StromerlösDirektvermarktung*C27*(1-(Direktnutzung+BatteriespeicherJN*Direktnutzung_Batteriespeicher))*(1+Parameter!B$58)^A27)</f>
        <v>0</v>
      </c>
      <c r="I27" s="10">
        <f>-(LfdKosten+IF(Direktvermarktung="ja",Parameter!$B$60,0))*(1+Inflationsrate)^A27</f>
        <v>-371.48684899458851</v>
      </c>
      <c r="J27" s="10">
        <f t="shared" si="10"/>
        <v>0</v>
      </c>
      <c r="K27" s="10">
        <f t="shared" si="11"/>
        <v>0</v>
      </c>
      <c r="L27" s="10">
        <f t="shared" si="2"/>
        <v>0</v>
      </c>
      <c r="M27" s="113">
        <f t="shared" si="16"/>
        <v>0</v>
      </c>
      <c r="N27" s="10">
        <f t="shared" si="12"/>
        <v>1333.0704715035467</v>
      </c>
      <c r="O27" s="10">
        <f t="shared" si="4"/>
        <v>760.23146265405717</v>
      </c>
      <c r="P27" s="10">
        <f t="shared" si="14"/>
        <v>-79.448890362759016</v>
      </c>
      <c r="Q27" s="10">
        <f t="shared" si="5"/>
        <v>211.85375912600543</v>
      </c>
      <c r="R27" s="9">
        <f t="shared" si="6"/>
        <v>5117.1051800361793</v>
      </c>
      <c r="S27" s="162">
        <f t="shared" si="15"/>
        <v>1</v>
      </c>
    </row>
    <row r="28" spans="1:19" s="103" customFormat="1" x14ac:dyDescent="0.25">
      <c r="A28" s="106">
        <v>20</v>
      </c>
      <c r="B28" s="107">
        <f t="shared" si="13"/>
        <v>2047</v>
      </c>
      <c r="C28" s="106">
        <f>Stromertrag*kWp*(1-Ertragsminderung)^A28</f>
        <v>8945.9562827033478</v>
      </c>
      <c r="D28" s="165">
        <f t="shared" si="0"/>
        <v>0.38852865413918203</v>
      </c>
      <c r="E28" s="106">
        <f t="shared" si="8"/>
        <v>3475.7603545066913</v>
      </c>
      <c r="F28" s="106">
        <f t="shared" si="1"/>
        <v>1720.9103763349633</v>
      </c>
      <c r="G28" s="10">
        <f>IF(IBNJahr&gt;2026,0,1)*IF(Direktvermarktung="ja",0,1)*C28*(1-(Direktnutzung+BatteriespeicherJN*Direktnutzung_Batteriespeicher))*EEG_Vergütung</f>
        <v>0</v>
      </c>
      <c r="H28" s="106">
        <f>IF(Direktvermarktung="nein",0,StromerlösDirektvermarktung*C28*(1-(Direktnutzung+BatteriespeicherJN*Direktnutzung_Batteriespeicher))*(1+Parameter!B$58)^A28)</f>
        <v>0</v>
      </c>
      <c r="I28" s="10">
        <f>-(LfdKosten+IF(Direktvermarktung="ja",Parameter!$B$60,0))*(1+Inflationsrate)^A28</f>
        <v>-378.91658597448031</v>
      </c>
      <c r="J28" s="106">
        <f t="shared" si="10"/>
        <v>0</v>
      </c>
      <c r="K28" s="106">
        <f t="shared" si="11"/>
        <v>0</v>
      </c>
      <c r="L28" s="106">
        <f t="shared" si="2"/>
        <v>0</v>
      </c>
      <c r="M28" s="118">
        <f>M27+L28</f>
        <v>0</v>
      </c>
      <c r="N28" s="106">
        <f t="shared" si="12"/>
        <v>1341.993790360483</v>
      </c>
      <c r="O28" s="106">
        <f t="shared" si="4"/>
        <v>743.02942399121866</v>
      </c>
      <c r="P28" s="106">
        <f>P27+O28</f>
        <v>663.58053362845965</v>
      </c>
      <c r="Q28" s="106">
        <f t="shared" si="5"/>
        <v>209.79692651313161</v>
      </c>
      <c r="R28" s="108">
        <f t="shared" si="6"/>
        <v>4953.1590917437579</v>
      </c>
      <c r="S28" s="106">
        <f t="shared" si="15"/>
        <v>0</v>
      </c>
    </row>
    <row r="29" spans="1:19" s="100" customFormat="1" x14ac:dyDescent="0.25">
      <c r="A29" s="92"/>
      <c r="B29" s="92"/>
      <c r="C29" s="7">
        <f>SUM(C8:C28)</f>
        <v>193532.19538158819</v>
      </c>
      <c r="D29" s="7"/>
      <c r="E29" s="7">
        <f>SUM(E8:E28)</f>
        <v>81511.008508440835</v>
      </c>
      <c r="F29" s="7">
        <f t="shared" ref="F29:L29" si="17">SUM(F8:F28)</f>
        <v>33079.821441959117</v>
      </c>
      <c r="G29" s="201">
        <f>SUM(G8:G28)</f>
        <v>736.30922299999997</v>
      </c>
      <c r="H29" s="7">
        <f t="shared" si="17"/>
        <v>0</v>
      </c>
      <c r="I29" s="7">
        <f t="shared" si="17"/>
        <v>-10471.729144682769</v>
      </c>
      <c r="J29" s="7">
        <f t="shared" si="17"/>
        <v>0</v>
      </c>
      <c r="K29" s="7">
        <f t="shared" si="17"/>
        <v>0</v>
      </c>
      <c r="L29" s="7">
        <f t="shared" si="17"/>
        <v>0</v>
      </c>
      <c r="M29" s="194"/>
      <c r="N29" s="7">
        <f>SUM(N8:N28)</f>
        <v>6344.4015202763521</v>
      </c>
      <c r="O29" s="155">
        <f>SUM(O7:O28)</f>
        <v>663.58053362845965</v>
      </c>
      <c r="P29" s="92"/>
      <c r="Q29" s="93">
        <f>SUM(Q8:Q28)</f>
        <v>7826.852486294064</v>
      </c>
      <c r="R29" s="93">
        <f>SUM(R8:R28)</f>
        <v>146774.70865246901</v>
      </c>
      <c r="S29" s="159">
        <f>SUM(S8:S28)</f>
        <v>20</v>
      </c>
    </row>
    <row r="30" spans="1:19" x14ac:dyDescent="0.25">
      <c r="A30" s="110"/>
      <c r="B30" s="11" t="s">
        <v>123</v>
      </c>
      <c r="C30" s="110"/>
      <c r="D30" s="196">
        <f>E29/C29</f>
        <v>0.42117544498332826</v>
      </c>
      <c r="F30" s="111"/>
      <c r="G30" s="111"/>
      <c r="H30" s="111"/>
      <c r="I30" s="111"/>
      <c r="J30" s="111"/>
      <c r="K30" s="111"/>
      <c r="L30" s="10"/>
      <c r="M30" s="112"/>
      <c r="N30" s="154">
        <f>IRR(N8:N28,0)</f>
        <v>3.4538183721283255E-2</v>
      </c>
      <c r="O30" s="112"/>
      <c r="P30" s="11"/>
      <c r="Q30" s="114"/>
      <c r="R30" s="115"/>
    </row>
    <row r="31" spans="1:19" x14ac:dyDescent="0.25">
      <c r="A31" s="116"/>
      <c r="B31" s="116"/>
      <c r="C31" s="116"/>
      <c r="D31" s="116"/>
      <c r="E31" s="116"/>
      <c r="F31" s="117"/>
      <c r="G31" s="117"/>
      <c r="H31" s="117"/>
      <c r="I31" s="117"/>
      <c r="J31" s="117"/>
      <c r="K31" s="117"/>
      <c r="L31" s="106"/>
      <c r="M31" s="117"/>
      <c r="N31" s="119"/>
      <c r="O31" s="117"/>
      <c r="P31" s="116"/>
      <c r="Q31" s="130" t="s">
        <v>76</v>
      </c>
      <c r="R31" s="153">
        <f>(Anlagenpreis+Q29)/R29</f>
        <v>0.16914939034271034</v>
      </c>
      <c r="S31" s="153"/>
    </row>
    <row r="32" spans="1:19" s="101" customFormat="1" x14ac:dyDescent="0.25">
      <c r="A32" s="111"/>
      <c r="B32" s="111"/>
      <c r="C32" s="111"/>
      <c r="D32" s="111"/>
      <c r="E32" s="111"/>
      <c r="F32" s="111"/>
      <c r="G32" s="111"/>
      <c r="H32" s="111"/>
      <c r="I32" s="111"/>
      <c r="J32" s="111"/>
      <c r="K32" s="111"/>
      <c r="L32" s="111"/>
      <c r="M32" s="112"/>
      <c r="N32" s="111"/>
      <c r="O32" s="111"/>
      <c r="P32" s="111"/>
      <c r="Q32" s="129"/>
      <c r="R32" s="114"/>
      <c r="S32" s="161"/>
    </row>
    <row r="33" spans="9:17" x14ac:dyDescent="0.25">
      <c r="I33" s="120"/>
    </row>
    <row r="34" spans="9:17" x14ac:dyDescent="0.25">
      <c r="I34" s="120"/>
      <c r="P34" s="125"/>
      <c r="Q34" s="121"/>
    </row>
    <row r="35" spans="9:17" x14ac:dyDescent="0.25">
      <c r="P35" s="126"/>
      <c r="Q35" s="120"/>
    </row>
  </sheetData>
  <customSheetViews>
    <customSheetView guid="{36051EDE-EE05-46A8-9481-5CD2E0A132E3}" showRuler="0">
      <selection activeCell="L4" sqref="L4"/>
      <pageMargins left="0.39370078740157483" right="0.39370078740157483" top="0.98425196850393704" bottom="0.98425196850393704" header="0.51181102362204722" footer="0.51181102362204722"/>
      <printOptions horizontalCentered="1" gridLines="1"/>
      <pageSetup paperSize="9" orientation="landscape"/>
      <headerFooter alignWithMargins="0">
        <oddHeader>&amp;F</oddHeader>
        <oddFooter>&amp;A</oddFooter>
      </headerFooter>
    </customSheetView>
  </customSheetViews>
  <phoneticPr fontId="0" type="noConversion"/>
  <printOptions horizontalCentered="1" gridLines="1"/>
  <pageMargins left="0.39370078740157483" right="0.39370078740157483" top="0.98425196850393704" bottom="0.98425196850393704" header="0.51181102362204722" footer="0.51181102362204722"/>
  <pageSetup paperSize="9" orientation="landscape" r:id="rId1"/>
  <headerFooter alignWithMargins="0">
    <oddHeader>&amp;F</oddHead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E14"/>
  <sheetViews>
    <sheetView workbookViewId="0">
      <selection activeCell="E14" sqref="E14"/>
    </sheetView>
  </sheetViews>
  <sheetFormatPr baseColWidth="10" defaultColWidth="9.109375" defaultRowHeight="13.2" x14ac:dyDescent="0.25"/>
  <sheetData>
    <row r="1" spans="1:5" x14ac:dyDescent="0.25">
      <c r="C1" t="s">
        <v>114</v>
      </c>
      <c r="D1" t="s">
        <v>113</v>
      </c>
    </row>
    <row r="2" spans="1:5" x14ac:dyDescent="0.25">
      <c r="A2" s="11" t="s">
        <v>31</v>
      </c>
      <c r="B2" s="12">
        <v>0.02</v>
      </c>
      <c r="C2" s="11">
        <v>1</v>
      </c>
      <c r="D2" s="38">
        <f>(E2+E3)/2</f>
        <v>0.99</v>
      </c>
      <c r="E2" s="12">
        <f>SUM(B2:B$13)</f>
        <v>1</v>
      </c>
    </row>
    <row r="3" spans="1:5" x14ac:dyDescent="0.25">
      <c r="A3" s="11" t="s">
        <v>32</v>
      </c>
      <c r="B3" s="12">
        <v>3.9E-2</v>
      </c>
      <c r="C3" s="11">
        <v>2</v>
      </c>
      <c r="D3" s="38">
        <f t="shared" ref="D3:D13" si="0">(E3+E4)/2</f>
        <v>0.96050000000000013</v>
      </c>
      <c r="E3" s="12">
        <f>SUM(B3:B$13)</f>
        <v>0.98000000000000009</v>
      </c>
    </row>
    <row r="4" spans="1:5" x14ac:dyDescent="0.25">
      <c r="A4" s="11" t="s">
        <v>33</v>
      </c>
      <c r="B4" s="12">
        <v>7.0000000000000007E-2</v>
      </c>
      <c r="C4" s="11">
        <v>3</v>
      </c>
      <c r="D4" s="38">
        <f t="shared" si="0"/>
        <v>0.90600000000000014</v>
      </c>
      <c r="E4" s="12">
        <f>SUM(B4:B$13)</f>
        <v>0.94100000000000006</v>
      </c>
    </row>
    <row r="5" spans="1:5" x14ac:dyDescent="0.25">
      <c r="A5" s="11" t="s">
        <v>34</v>
      </c>
      <c r="B5" s="12">
        <v>0.111</v>
      </c>
      <c r="C5" s="11">
        <v>4</v>
      </c>
      <c r="D5" s="38">
        <f t="shared" si="0"/>
        <v>0.81550000000000011</v>
      </c>
      <c r="E5" s="12">
        <f>SUM(B5:B$13)</f>
        <v>0.87100000000000011</v>
      </c>
    </row>
    <row r="6" spans="1:5" x14ac:dyDescent="0.25">
      <c r="A6" s="11" t="s">
        <v>35</v>
      </c>
      <c r="B6" s="12">
        <v>0.14599999999999999</v>
      </c>
      <c r="C6" s="11">
        <v>5</v>
      </c>
      <c r="D6" s="38">
        <f t="shared" si="0"/>
        <v>0.68700000000000006</v>
      </c>
      <c r="E6" s="12">
        <f>SUM(B6:B$13)</f>
        <v>0.76</v>
      </c>
    </row>
    <row r="7" spans="1:5" x14ac:dyDescent="0.25">
      <c r="A7" s="11" t="s">
        <v>36</v>
      </c>
      <c r="B7" s="12">
        <v>0.153</v>
      </c>
      <c r="C7" s="11">
        <v>6</v>
      </c>
      <c r="D7" s="38">
        <f t="shared" si="0"/>
        <v>0.53750000000000009</v>
      </c>
      <c r="E7" s="12">
        <f>SUM(B7:B$13)</f>
        <v>0.6140000000000001</v>
      </c>
    </row>
    <row r="8" spans="1:5" x14ac:dyDescent="0.25">
      <c r="A8" s="11" t="s">
        <v>37</v>
      </c>
      <c r="B8" s="12">
        <v>0.154</v>
      </c>
      <c r="C8" s="11">
        <v>7</v>
      </c>
      <c r="D8" s="38">
        <f t="shared" si="0"/>
        <v>0.38400000000000006</v>
      </c>
      <c r="E8" s="12">
        <f>SUM(B8:B$13)</f>
        <v>0.46100000000000008</v>
      </c>
    </row>
    <row r="9" spans="1:5" x14ac:dyDescent="0.25">
      <c r="A9" s="11" t="s">
        <v>38</v>
      </c>
      <c r="B9" s="12">
        <v>0.13400000000000001</v>
      </c>
      <c r="C9" s="11">
        <v>8</v>
      </c>
      <c r="D9" s="38">
        <f t="shared" si="0"/>
        <v>0.24000000000000002</v>
      </c>
      <c r="E9" s="12">
        <f>SUM(B9:B$13)</f>
        <v>0.30700000000000005</v>
      </c>
    </row>
    <row r="10" spans="1:5" x14ac:dyDescent="0.25">
      <c r="A10" s="11" t="s">
        <v>39</v>
      </c>
      <c r="B10" s="12">
        <v>8.5000000000000006E-2</v>
      </c>
      <c r="C10" s="11">
        <v>9</v>
      </c>
      <c r="D10" s="38">
        <f t="shared" si="0"/>
        <v>0.1305</v>
      </c>
      <c r="E10" s="12">
        <f>SUM(B10:B$13)</f>
        <v>0.17299999999999999</v>
      </c>
    </row>
    <row r="11" spans="1:5" x14ac:dyDescent="0.25">
      <c r="A11" s="11" t="s">
        <v>40</v>
      </c>
      <c r="B11" s="12">
        <v>4.9000000000000002E-2</v>
      </c>
      <c r="C11" s="11">
        <v>10</v>
      </c>
      <c r="D11" s="38">
        <f t="shared" si="0"/>
        <v>6.3500000000000001E-2</v>
      </c>
      <c r="E11" s="12">
        <f>SUM(B11:B$13)</f>
        <v>8.8000000000000009E-2</v>
      </c>
    </row>
    <row r="12" spans="1:5" x14ac:dyDescent="0.25">
      <c r="A12" s="11" t="s">
        <v>41</v>
      </c>
      <c r="B12" s="12">
        <v>2.3E-2</v>
      </c>
      <c r="C12" s="11">
        <v>11</v>
      </c>
      <c r="D12" s="38">
        <f t="shared" si="0"/>
        <v>2.75E-2</v>
      </c>
      <c r="E12" s="12">
        <f>SUM(B12:B$13)</f>
        <v>3.9E-2</v>
      </c>
    </row>
    <row r="13" spans="1:5" x14ac:dyDescent="0.25">
      <c r="A13" s="11" t="s">
        <v>42</v>
      </c>
      <c r="B13" s="13">
        <v>1.6E-2</v>
      </c>
      <c r="C13" s="11">
        <v>12</v>
      </c>
      <c r="D13" s="38">
        <f t="shared" si="0"/>
        <v>8.0000000000000002E-3</v>
      </c>
      <c r="E13" s="12">
        <f>B13</f>
        <v>1.6E-2</v>
      </c>
    </row>
    <row r="14" spans="1:5" x14ac:dyDescent="0.25">
      <c r="A14" s="11"/>
      <c r="B14" s="12">
        <f>SUM(B2:B13)</f>
        <v>1</v>
      </c>
      <c r="C14" s="11"/>
      <c r="E14" s="12">
        <v>0</v>
      </c>
    </row>
  </sheetData>
  <sheetProtection sheet="1" objects="1" scenarios="1"/>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AL38"/>
  <sheetViews>
    <sheetView zoomScaleNormal="100" workbookViewId="0">
      <selection activeCell="J12" sqref="J12"/>
    </sheetView>
  </sheetViews>
  <sheetFormatPr baseColWidth="10" defaultColWidth="9.109375" defaultRowHeight="13.2" x14ac:dyDescent="0.25"/>
  <sheetData>
    <row r="1" spans="1:38" x14ac:dyDescent="0.25">
      <c r="A1" t="s">
        <v>86</v>
      </c>
    </row>
    <row r="3" spans="1:38" x14ac:dyDescent="0.25">
      <c r="A3" s="89">
        <v>2023</v>
      </c>
      <c r="B3" s="36">
        <f>VLOOKUP(IBNMonat,Vergütung!A12:B23,2,TRUE)</f>
        <v>8.2000000000000003E-2</v>
      </c>
    </row>
    <row r="4" spans="1:38" x14ac:dyDescent="0.25">
      <c r="A4" s="89">
        <v>2024</v>
      </c>
      <c r="B4" s="36">
        <f>VLOOKUP(IBNMonat,Vergütung!C12:D23,2,TRUE)</f>
        <v>8.2000000000000003E-2</v>
      </c>
    </row>
    <row r="5" spans="1:38" x14ac:dyDescent="0.25">
      <c r="A5" s="89">
        <v>2025</v>
      </c>
      <c r="B5" s="36">
        <f>VLOOKUP(IBNMonat,Vergütung!E12:F23,2,TRUE)</f>
        <v>8.0368200000000001E-2</v>
      </c>
    </row>
    <row r="6" spans="1:38" x14ac:dyDescent="0.25">
      <c r="A6" s="89">
        <v>2026</v>
      </c>
      <c r="B6" s="36">
        <f>VLOOKUP(IBNMonat,Vergütung!G12:H23,2,TRUE)</f>
        <v>7.8768872820000002E-2</v>
      </c>
    </row>
    <row r="7" spans="1:38" x14ac:dyDescent="0.25">
      <c r="A7" s="89">
        <v>2027</v>
      </c>
      <c r="B7" s="36">
        <f>VLOOKUP(IBNMonat,Vergütung!I12:J23,2,TRUE)</f>
        <v>5.1999999999999998E-2</v>
      </c>
    </row>
    <row r="8" spans="1:38" x14ac:dyDescent="0.25">
      <c r="A8" s="89">
        <v>2028</v>
      </c>
      <c r="B8" s="36">
        <f>VLOOKUP(IBNMonat,Vergütung!K12:L23,2,TRUE)</f>
        <v>5.1999999999999998E-2</v>
      </c>
    </row>
    <row r="11" spans="1:38" x14ac:dyDescent="0.25">
      <c r="A11">
        <v>2023</v>
      </c>
      <c r="C11">
        <v>2024</v>
      </c>
      <c r="E11">
        <v>2025</v>
      </c>
      <c r="G11">
        <v>2026</v>
      </c>
      <c r="I11">
        <v>2027</v>
      </c>
      <c r="K11">
        <v>2028</v>
      </c>
    </row>
    <row r="12" spans="1:38" x14ac:dyDescent="0.25">
      <c r="A12">
        <v>1</v>
      </c>
      <c r="B12" s="36">
        <f>IF(kWp&lt;=10,0.082,IF(kWp&lt;=40,(10*0.082+(kWp-10)*0.071)/kWp,IF(kWp&lt;=750,(10*0.082+30*0.071+(kWp-40)*0.058)/kWp)))</f>
        <v>8.2000000000000003E-2</v>
      </c>
      <c r="C12">
        <v>1</v>
      </c>
      <c r="D12" s="36">
        <f>B23</f>
        <v>8.2000000000000003E-2</v>
      </c>
      <c r="E12">
        <v>1</v>
      </c>
      <c r="F12" s="36">
        <f>D23</f>
        <v>8.0368200000000001E-2</v>
      </c>
      <c r="G12">
        <v>1</v>
      </c>
      <c r="H12" s="36">
        <f>F23</f>
        <v>7.8768872820000002E-2</v>
      </c>
      <c r="I12">
        <v>1</v>
      </c>
      <c r="J12" s="36">
        <v>5.1999999999999998E-2</v>
      </c>
      <c r="K12">
        <v>1</v>
      </c>
      <c r="L12" s="36">
        <f>J23</f>
        <v>5.1999999999999998E-2</v>
      </c>
      <c r="N12" s="156"/>
      <c r="P12" s="36"/>
      <c r="R12" s="36"/>
      <c r="T12" s="36"/>
      <c r="AJ12" s="37"/>
      <c r="AL12" s="37"/>
    </row>
    <row r="13" spans="1:38" x14ac:dyDescent="0.25">
      <c r="A13">
        <f t="shared" ref="A13:A23" si="0">A12+1</f>
        <v>2</v>
      </c>
      <c r="B13" s="36">
        <f>B12</f>
        <v>8.2000000000000003E-2</v>
      </c>
      <c r="C13">
        <f t="shared" ref="C13:E13" si="1">C12+1</f>
        <v>2</v>
      </c>
      <c r="D13" s="36">
        <f>D12*0.99</f>
        <v>8.1180000000000002E-2</v>
      </c>
      <c r="E13">
        <f t="shared" si="1"/>
        <v>2</v>
      </c>
      <c r="F13" s="36">
        <f>F12*0.99</f>
        <v>7.9564518000000001E-2</v>
      </c>
      <c r="G13">
        <f t="shared" ref="G13" si="2">G12+1</f>
        <v>2</v>
      </c>
      <c r="H13" s="36">
        <f>H12*0.99</f>
        <v>7.7981184091800007E-2</v>
      </c>
      <c r="I13">
        <f t="shared" ref="I13" si="3">I12+1</f>
        <v>2</v>
      </c>
      <c r="J13" s="36">
        <f>J12</f>
        <v>5.1999999999999998E-2</v>
      </c>
      <c r="K13">
        <f t="shared" ref="K13:K23" si="4">K12+1</f>
        <v>2</v>
      </c>
      <c r="L13" s="36">
        <f>L12</f>
        <v>5.1999999999999998E-2</v>
      </c>
      <c r="N13" s="156"/>
      <c r="P13" s="36"/>
      <c r="R13" s="36"/>
      <c r="T13" s="36"/>
      <c r="AJ13" s="37"/>
      <c r="AL13" s="37"/>
    </row>
    <row r="14" spans="1:38" x14ac:dyDescent="0.25">
      <c r="A14">
        <f t="shared" si="0"/>
        <v>3</v>
      </c>
      <c r="B14" s="36">
        <f t="shared" ref="B14:D23" si="5">B13</f>
        <v>8.2000000000000003E-2</v>
      </c>
      <c r="C14">
        <f t="shared" ref="C14:E14" si="6">C13+1</f>
        <v>3</v>
      </c>
      <c r="D14" s="36">
        <f t="shared" si="5"/>
        <v>8.1180000000000002E-2</v>
      </c>
      <c r="E14">
        <f t="shared" si="6"/>
        <v>3</v>
      </c>
      <c r="F14" s="36">
        <f t="shared" ref="F14:H14" si="7">F13</f>
        <v>7.9564518000000001E-2</v>
      </c>
      <c r="G14">
        <f t="shared" ref="G14" si="8">G13+1</f>
        <v>3</v>
      </c>
      <c r="H14" s="36">
        <f t="shared" si="7"/>
        <v>7.7981184091800007E-2</v>
      </c>
      <c r="I14">
        <f t="shared" ref="I14" si="9">I13+1</f>
        <v>3</v>
      </c>
      <c r="J14" s="36">
        <f t="shared" ref="J14" si="10">J13</f>
        <v>5.1999999999999998E-2</v>
      </c>
      <c r="K14">
        <f t="shared" si="4"/>
        <v>3</v>
      </c>
      <c r="L14" s="36">
        <f t="shared" ref="L14" si="11">L13</f>
        <v>5.1999999999999998E-2</v>
      </c>
      <c r="N14" s="156"/>
      <c r="P14" s="36"/>
      <c r="R14" s="36"/>
      <c r="T14" s="36"/>
      <c r="AJ14" s="37"/>
      <c r="AL14" s="37"/>
    </row>
    <row r="15" spans="1:38" x14ac:dyDescent="0.25">
      <c r="A15">
        <f t="shared" si="0"/>
        <v>4</v>
      </c>
      <c r="B15" s="36">
        <f t="shared" si="5"/>
        <v>8.2000000000000003E-2</v>
      </c>
      <c r="C15">
        <f t="shared" ref="C15:E15" si="12">C14+1</f>
        <v>4</v>
      </c>
      <c r="D15" s="36">
        <f t="shared" si="5"/>
        <v>8.1180000000000002E-2</v>
      </c>
      <c r="E15">
        <f t="shared" si="12"/>
        <v>4</v>
      </c>
      <c r="F15" s="36">
        <f t="shared" ref="F15:H15" si="13">F14</f>
        <v>7.9564518000000001E-2</v>
      </c>
      <c r="G15">
        <f t="shared" ref="G15" si="14">G14+1</f>
        <v>4</v>
      </c>
      <c r="H15" s="36">
        <f t="shared" si="13"/>
        <v>7.7981184091800007E-2</v>
      </c>
      <c r="I15">
        <f t="shared" ref="I15" si="15">I14+1</f>
        <v>4</v>
      </c>
      <c r="J15" s="36">
        <f t="shared" ref="J15" si="16">J14</f>
        <v>5.1999999999999998E-2</v>
      </c>
      <c r="K15">
        <f t="shared" si="4"/>
        <v>4</v>
      </c>
      <c r="L15" s="36">
        <f t="shared" ref="L15" si="17">L14</f>
        <v>5.1999999999999998E-2</v>
      </c>
      <c r="N15" s="156"/>
      <c r="P15" s="36"/>
      <c r="R15" s="36"/>
      <c r="T15" s="36"/>
      <c r="AJ15" s="37"/>
      <c r="AL15" s="37"/>
    </row>
    <row r="16" spans="1:38" x14ac:dyDescent="0.25">
      <c r="A16">
        <f t="shared" si="0"/>
        <v>5</v>
      </c>
      <c r="B16" s="36">
        <f t="shared" si="5"/>
        <v>8.2000000000000003E-2</v>
      </c>
      <c r="C16">
        <f t="shared" ref="C16:E16" si="18">C15+1</f>
        <v>5</v>
      </c>
      <c r="D16" s="36">
        <f t="shared" si="5"/>
        <v>8.1180000000000002E-2</v>
      </c>
      <c r="E16">
        <f t="shared" si="18"/>
        <v>5</v>
      </c>
      <c r="F16" s="36">
        <f t="shared" ref="F16:H16" si="19">F15</f>
        <v>7.9564518000000001E-2</v>
      </c>
      <c r="G16">
        <f t="shared" ref="G16" si="20">G15+1</f>
        <v>5</v>
      </c>
      <c r="H16" s="36">
        <f t="shared" si="19"/>
        <v>7.7981184091800007E-2</v>
      </c>
      <c r="I16">
        <f t="shared" ref="I16" si="21">I15+1</f>
        <v>5</v>
      </c>
      <c r="J16" s="36">
        <f t="shared" ref="J16" si="22">J15</f>
        <v>5.1999999999999998E-2</v>
      </c>
      <c r="K16">
        <f t="shared" si="4"/>
        <v>5</v>
      </c>
      <c r="L16" s="36">
        <f t="shared" ref="L16" si="23">L15</f>
        <v>5.1999999999999998E-2</v>
      </c>
      <c r="N16" s="156"/>
      <c r="P16" s="36"/>
      <c r="R16" s="36"/>
      <c r="T16" s="36"/>
      <c r="AJ16" s="37"/>
      <c r="AL16" s="156"/>
    </row>
    <row r="17" spans="1:38" x14ac:dyDescent="0.25">
      <c r="A17">
        <f t="shared" si="0"/>
        <v>6</v>
      </c>
      <c r="B17" s="36">
        <f t="shared" si="5"/>
        <v>8.2000000000000003E-2</v>
      </c>
      <c r="C17">
        <f t="shared" ref="C17:E17" si="24">C16+1</f>
        <v>6</v>
      </c>
      <c r="D17" s="36">
        <f t="shared" si="5"/>
        <v>8.1180000000000002E-2</v>
      </c>
      <c r="E17">
        <f t="shared" si="24"/>
        <v>6</v>
      </c>
      <c r="F17" s="36">
        <f t="shared" ref="F17:H17" si="25">F16</f>
        <v>7.9564518000000001E-2</v>
      </c>
      <c r="G17">
        <f t="shared" ref="G17" si="26">G16+1</f>
        <v>6</v>
      </c>
      <c r="H17" s="36">
        <f t="shared" si="25"/>
        <v>7.7981184091800007E-2</v>
      </c>
      <c r="I17">
        <f t="shared" ref="I17" si="27">I16+1</f>
        <v>6</v>
      </c>
      <c r="J17" s="36">
        <f t="shared" ref="J17" si="28">J16</f>
        <v>5.1999999999999998E-2</v>
      </c>
      <c r="K17">
        <f t="shared" si="4"/>
        <v>6</v>
      </c>
      <c r="L17" s="36">
        <f t="shared" ref="L17" si="29">L16</f>
        <v>5.1999999999999998E-2</v>
      </c>
      <c r="N17" s="156"/>
      <c r="P17" s="36"/>
      <c r="R17" s="36"/>
      <c r="T17" s="36"/>
      <c r="AJ17" s="37"/>
      <c r="AL17" s="37"/>
    </row>
    <row r="18" spans="1:38" x14ac:dyDescent="0.25">
      <c r="A18">
        <f t="shared" si="0"/>
        <v>7</v>
      </c>
      <c r="B18" s="36">
        <f t="shared" si="5"/>
        <v>8.2000000000000003E-2</v>
      </c>
      <c r="C18">
        <f t="shared" ref="C18:E18" si="30">C17+1</f>
        <v>7</v>
      </c>
      <c r="D18" s="36">
        <f t="shared" si="5"/>
        <v>8.1180000000000002E-2</v>
      </c>
      <c r="E18">
        <f t="shared" si="30"/>
        <v>7</v>
      </c>
      <c r="F18" s="36">
        <f t="shared" ref="F18:H18" si="31">F17</f>
        <v>7.9564518000000001E-2</v>
      </c>
      <c r="G18">
        <f t="shared" ref="G18" si="32">G17+1</f>
        <v>7</v>
      </c>
      <c r="H18" s="36">
        <f t="shared" si="31"/>
        <v>7.7981184091800007E-2</v>
      </c>
      <c r="I18">
        <f t="shared" ref="I18" si="33">I17+1</f>
        <v>7</v>
      </c>
      <c r="J18" s="36">
        <f t="shared" ref="J18" si="34">J17</f>
        <v>5.1999999999999998E-2</v>
      </c>
      <c r="K18">
        <f t="shared" si="4"/>
        <v>7</v>
      </c>
      <c r="L18" s="36">
        <f t="shared" ref="L18" si="35">L17</f>
        <v>5.1999999999999998E-2</v>
      </c>
      <c r="N18" s="156"/>
      <c r="P18" s="36"/>
      <c r="R18" s="36"/>
      <c r="T18" s="36"/>
      <c r="AJ18" s="37"/>
      <c r="AL18" s="37"/>
    </row>
    <row r="19" spans="1:38" x14ac:dyDescent="0.25">
      <c r="A19">
        <f t="shared" si="0"/>
        <v>8</v>
      </c>
      <c r="B19" s="36">
        <f t="shared" si="5"/>
        <v>8.2000000000000003E-2</v>
      </c>
      <c r="C19">
        <f t="shared" ref="C19:E19" si="36">C18+1</f>
        <v>8</v>
      </c>
      <c r="D19" s="36">
        <f>D18*0.99</f>
        <v>8.0368200000000001E-2</v>
      </c>
      <c r="E19">
        <f t="shared" si="36"/>
        <v>8</v>
      </c>
      <c r="F19" s="36">
        <f>F18*0.99</f>
        <v>7.8768872820000002E-2</v>
      </c>
      <c r="G19">
        <f t="shared" ref="G19" si="37">G18+1</f>
        <v>8</v>
      </c>
      <c r="H19" s="36">
        <f>H18*0.99</f>
        <v>7.7201372250882E-2</v>
      </c>
      <c r="I19">
        <f t="shared" ref="I19" si="38">I18+1</f>
        <v>8</v>
      </c>
      <c r="J19" s="36">
        <f>J18</f>
        <v>5.1999999999999998E-2</v>
      </c>
      <c r="K19">
        <f t="shared" si="4"/>
        <v>8</v>
      </c>
      <c r="L19" s="36">
        <f>L18</f>
        <v>5.1999999999999998E-2</v>
      </c>
      <c r="N19" s="156"/>
      <c r="P19" s="37"/>
      <c r="R19" s="37"/>
      <c r="T19" s="36"/>
      <c r="AJ19" s="37"/>
      <c r="AL19" s="37"/>
    </row>
    <row r="20" spans="1:38" x14ac:dyDescent="0.25">
      <c r="A20">
        <f t="shared" si="0"/>
        <v>9</v>
      </c>
      <c r="B20" s="36">
        <f t="shared" si="5"/>
        <v>8.2000000000000003E-2</v>
      </c>
      <c r="C20">
        <f t="shared" ref="C20:E20" si="39">C19+1</f>
        <v>9</v>
      </c>
      <c r="D20" s="36">
        <f t="shared" si="5"/>
        <v>8.0368200000000001E-2</v>
      </c>
      <c r="E20">
        <f t="shared" si="39"/>
        <v>9</v>
      </c>
      <c r="F20" s="36">
        <f t="shared" ref="F20:H20" si="40">F19</f>
        <v>7.8768872820000002E-2</v>
      </c>
      <c r="G20">
        <f t="shared" ref="G20" si="41">G19+1</f>
        <v>9</v>
      </c>
      <c r="H20" s="36">
        <f t="shared" si="40"/>
        <v>7.7201372250882E-2</v>
      </c>
      <c r="I20">
        <f t="shared" ref="I20" si="42">I19+1</f>
        <v>9</v>
      </c>
      <c r="J20" s="36">
        <f t="shared" ref="J20" si="43">J19</f>
        <v>5.1999999999999998E-2</v>
      </c>
      <c r="K20">
        <f t="shared" si="4"/>
        <v>9</v>
      </c>
      <c r="L20" s="36">
        <f t="shared" ref="L20" si="44">L19</f>
        <v>5.1999999999999998E-2</v>
      </c>
      <c r="N20" s="156"/>
      <c r="P20" s="37"/>
      <c r="R20" s="37"/>
      <c r="T20" s="36"/>
      <c r="AJ20" s="37"/>
      <c r="AL20" s="37"/>
    </row>
    <row r="21" spans="1:38" x14ac:dyDescent="0.25">
      <c r="A21">
        <f t="shared" si="0"/>
        <v>10</v>
      </c>
      <c r="B21" s="36">
        <f t="shared" si="5"/>
        <v>8.2000000000000003E-2</v>
      </c>
      <c r="C21">
        <f t="shared" ref="C21:E21" si="45">C20+1</f>
        <v>10</v>
      </c>
      <c r="D21" s="36">
        <f t="shared" si="5"/>
        <v>8.0368200000000001E-2</v>
      </c>
      <c r="E21">
        <f t="shared" si="45"/>
        <v>10</v>
      </c>
      <c r="F21" s="36">
        <f t="shared" ref="F21:H21" si="46">F20</f>
        <v>7.8768872820000002E-2</v>
      </c>
      <c r="G21">
        <f t="shared" ref="G21" si="47">G20+1</f>
        <v>10</v>
      </c>
      <c r="H21" s="36">
        <f t="shared" si="46"/>
        <v>7.7201372250882E-2</v>
      </c>
      <c r="I21">
        <f t="shared" ref="I21" si="48">I20+1</f>
        <v>10</v>
      </c>
      <c r="J21" s="36">
        <f t="shared" ref="J21" si="49">J20</f>
        <v>5.1999999999999998E-2</v>
      </c>
      <c r="K21">
        <f t="shared" si="4"/>
        <v>10</v>
      </c>
      <c r="L21" s="36">
        <f t="shared" ref="L21" si="50">L20</f>
        <v>5.1999999999999998E-2</v>
      </c>
      <c r="N21" s="156"/>
      <c r="P21" s="37"/>
      <c r="R21" s="37"/>
      <c r="T21" s="36"/>
      <c r="AJ21" s="37"/>
      <c r="AL21" s="37"/>
    </row>
    <row r="22" spans="1:38" x14ac:dyDescent="0.25">
      <c r="A22">
        <f t="shared" si="0"/>
        <v>11</v>
      </c>
      <c r="B22" s="36">
        <f t="shared" si="5"/>
        <v>8.2000000000000003E-2</v>
      </c>
      <c r="C22">
        <f t="shared" ref="C22:E22" si="51">C21+1</f>
        <v>11</v>
      </c>
      <c r="D22" s="36">
        <f t="shared" si="5"/>
        <v>8.0368200000000001E-2</v>
      </c>
      <c r="E22">
        <f t="shared" si="51"/>
        <v>11</v>
      </c>
      <c r="F22" s="36">
        <f t="shared" ref="F22:H22" si="52">F21</f>
        <v>7.8768872820000002E-2</v>
      </c>
      <c r="G22">
        <f t="shared" ref="G22" si="53">G21+1</f>
        <v>11</v>
      </c>
      <c r="H22" s="36">
        <f t="shared" si="52"/>
        <v>7.7201372250882E-2</v>
      </c>
      <c r="I22">
        <f t="shared" ref="I22" si="54">I21+1</f>
        <v>11</v>
      </c>
      <c r="J22" s="36">
        <f t="shared" ref="J22" si="55">J21</f>
        <v>5.1999999999999998E-2</v>
      </c>
      <c r="K22">
        <f t="shared" si="4"/>
        <v>11</v>
      </c>
      <c r="L22" s="36">
        <f t="shared" ref="L22" si="56">L21</f>
        <v>5.1999999999999998E-2</v>
      </c>
      <c r="N22" s="37"/>
      <c r="P22" s="37"/>
      <c r="R22" s="37"/>
      <c r="T22" s="36"/>
      <c r="AJ22" s="37"/>
      <c r="AL22" s="37"/>
    </row>
    <row r="23" spans="1:38" x14ac:dyDescent="0.25">
      <c r="A23">
        <f t="shared" si="0"/>
        <v>12</v>
      </c>
      <c r="B23" s="36">
        <f t="shared" si="5"/>
        <v>8.2000000000000003E-2</v>
      </c>
      <c r="C23">
        <f t="shared" ref="C23:E23" si="57">C22+1</f>
        <v>12</v>
      </c>
      <c r="D23" s="36">
        <f t="shared" si="5"/>
        <v>8.0368200000000001E-2</v>
      </c>
      <c r="E23">
        <f t="shared" si="57"/>
        <v>12</v>
      </c>
      <c r="F23" s="36">
        <f t="shared" ref="F23:H23" si="58">F22</f>
        <v>7.8768872820000002E-2</v>
      </c>
      <c r="G23">
        <f t="shared" ref="G23" si="59">G22+1</f>
        <v>12</v>
      </c>
      <c r="H23" s="36">
        <f t="shared" si="58"/>
        <v>7.7201372250882E-2</v>
      </c>
      <c r="I23">
        <f t="shared" ref="I23" si="60">I22+1</f>
        <v>12</v>
      </c>
      <c r="J23" s="36">
        <f t="shared" ref="J23" si="61">J22</f>
        <v>5.1999999999999998E-2</v>
      </c>
      <c r="K23">
        <f t="shared" si="4"/>
        <v>12</v>
      </c>
      <c r="L23" s="36">
        <f t="shared" ref="L23" si="62">L22</f>
        <v>5.1999999999999998E-2</v>
      </c>
      <c r="N23" s="37"/>
      <c r="P23" s="37"/>
      <c r="R23" s="37"/>
      <c r="T23" s="36"/>
      <c r="AJ23" s="37"/>
      <c r="AL23" s="37"/>
    </row>
    <row r="26" spans="1:38" x14ac:dyDescent="0.25">
      <c r="A26" s="174"/>
    </row>
    <row r="27" spans="1:38" x14ac:dyDescent="0.25">
      <c r="A27" s="174"/>
      <c r="C27" s="157"/>
      <c r="E27" s="157"/>
      <c r="G27" s="157"/>
    </row>
    <row r="28" spans="1:38" x14ac:dyDescent="0.25">
      <c r="A28" s="175"/>
      <c r="C28" s="157"/>
      <c r="E28" s="157"/>
      <c r="G28" s="157"/>
    </row>
    <row r="29" spans="1:38" x14ac:dyDescent="0.25">
      <c r="A29" s="175"/>
      <c r="C29" s="157"/>
      <c r="E29" s="157"/>
      <c r="G29" s="157"/>
    </row>
    <row r="30" spans="1:38" x14ac:dyDescent="0.25">
      <c r="A30" s="175"/>
      <c r="C30" s="157"/>
      <c r="E30" s="157"/>
      <c r="G30" s="157"/>
    </row>
    <row r="31" spans="1:38" x14ac:dyDescent="0.25">
      <c r="A31" s="175"/>
      <c r="C31" s="157"/>
      <c r="E31" s="157"/>
      <c r="G31" s="157"/>
    </row>
    <row r="32" spans="1:38" x14ac:dyDescent="0.25">
      <c r="A32" s="175"/>
      <c r="C32" s="157"/>
      <c r="E32" s="157"/>
      <c r="G32" s="157"/>
    </row>
    <row r="33" spans="1:7" x14ac:dyDescent="0.25">
      <c r="A33" s="175"/>
      <c r="C33" s="157"/>
      <c r="E33" s="157"/>
      <c r="G33" s="157"/>
    </row>
    <row r="34" spans="1:7" x14ac:dyDescent="0.25">
      <c r="A34" s="175"/>
      <c r="C34" s="157"/>
      <c r="E34" s="157"/>
      <c r="G34" s="157"/>
    </row>
    <row r="35" spans="1:7" x14ac:dyDescent="0.25">
      <c r="A35" s="175"/>
      <c r="C35" s="157"/>
      <c r="E35" s="157"/>
      <c r="G35" s="157"/>
    </row>
    <row r="36" spans="1:7" x14ac:dyDescent="0.25">
      <c r="A36" s="175"/>
      <c r="C36" s="157"/>
      <c r="E36" s="157"/>
      <c r="G36" s="157"/>
    </row>
    <row r="37" spans="1:7" x14ac:dyDescent="0.25">
      <c r="A37" s="175"/>
      <c r="C37" s="157"/>
      <c r="E37" s="157"/>
      <c r="G37" s="157"/>
    </row>
    <row r="38" spans="1:7" x14ac:dyDescent="0.25">
      <c r="A38" s="175"/>
      <c r="C38" s="157"/>
      <c r="E38" s="157"/>
      <c r="G38" s="157"/>
    </row>
  </sheetData>
  <phoneticPr fontId="0" type="noConversion"/>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7 p l + R y z Z N z e o A A A A + Q A A A B I A H A B D b 2 5 m a W c v U G F j a 2 F n Z S 5 4 b W w g o h g A K K A U A A A A A A A A A A A A A A A A A A A A A A A A A A A A h Y 9 N C s I w G E S v U r J v k v 6 J l K / p Q t 1 Z E A R x G 9 L Y B t t U m t T 0 b i 4 8 k l e w o J X u X M 7 w B t 6 8 H k / I x 7 b x 7 r I 3 q t M Z C j B F n t S i K 5 W u M j T Y i 7 9 G O Y M D F 1 d e S W + C t U l H o z J U W 3 t L C X H O Y R f h r q 9 I S G l A z s X + K G r Z c l 9 p Y 7 k W E v 1 W 5 f 8 V Y n D 6 y L A Q h z G O 6 S r B S Z Q E Q O Y e C q U X z K S M K Z B F C Z u h s U M v W S n 9 7 Q 7 I H I F 8 b 7 A 3 U E s D B B Q A A g A I A O 6 Z f k 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u m X 5 H K I p H u A 4 A A A A R A A A A E w A c A E Z v c m 1 1 b G F z L 1 N l Y 3 R p b 2 4 x L m 0 g o h g A K K A U A A A A A A A A A A A A A A A A A A A A A A A A A A A A K 0 5 N L s n M z 1 M I h t C G 1 g B Q S w E C L Q A U A A I A C A D u m X 5 H L N k 3 N 6 g A A A D 5 A A A A E g A A A A A A A A A A A A A A A A A A A A A A Q 2 9 u Z m l n L 1 B h Y 2 t h Z 2 U u e G 1 s U E s B A i 0 A F A A C A A g A 7 p l + R w / K 6 a u k A A A A 6 Q A A A B M A A A A A A A A A A A A A A A A A 9 A A A A F t D b 2 5 0 Z W 5 0 X 1 R 5 c G V z X S 5 4 b W x Q S w E C L Q A U A A I A C A D u m X 5 H K I p H u A 4 A A A A R A A A A E w A A A A A A A A A A A A A A A A D l A Q A A R m 9 y b X V s Y X M v U 2 V j d G l v b j E u b V B L B Q Y A A A A A A w A D A M I A A A B A A g A A A A A 0 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I H h z a T p u a W w 9 I n R y d W U i I C 8 + 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J g E A A A E A A A D Q j J 3 f A R X R E Y x 6 A M B P w p f r A Q A A A I D d o a n s 9 K 1 J s l z y z n G i V 1 0 A A A A A A g A A A A A A E G Y A A A A B A A A g A A A A H D B V s v J G F q L N 1 F K O j j b K x S K 7 f j Y 7 s B f c n P v / 9 b V g 6 o c A A A A A D o A A A A A C A A A g A A A A U E U B t c Z m c N 1 B U H M b 2 W u U G Z G 4 l V O y 8 9 0 F + T q i E N n F x t p Q A A A A R n y b s R F v t 9 p R W U i f x R T k q 7 F 2 + K R n b o I / + Z z Z 2 R N v Z z D 2 Z e E 9 Q e y n a 1 6 v X 1 T 2 d v J I j 1 I W S g K s 4 v z l 1 m G W s z j b T T x D Q c Z B G T Q y n o O g l 4 t e 3 K N A A A A A P E 5 B t u l 4 7 s n r f 2 H j d H f x 6 5 i C k g b 2 7 j V l x 7 r 7 l P 2 o Z 7 e t C 5 e k T W x o K X u z h r P p a j L H k d b + B X T p g V P 8 k R u w J f p r v g = = < / D a t a M a s h u p > 
</file>

<file path=customXml/itemProps1.xml><?xml version="1.0" encoding="utf-8"?>
<ds:datastoreItem xmlns:ds="http://schemas.openxmlformats.org/officeDocument/2006/customXml" ds:itemID="{760A3831-F4EC-47D1-B096-DE494AF72E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5</vt:i4>
      </vt:variant>
      <vt:variant>
        <vt:lpstr>Diagramme</vt:lpstr>
      </vt:variant>
      <vt:variant>
        <vt:i4>1</vt:i4>
      </vt:variant>
      <vt:variant>
        <vt:lpstr>Benannte Bereiche</vt:lpstr>
      </vt:variant>
      <vt:variant>
        <vt:i4>49</vt:i4>
      </vt:variant>
    </vt:vector>
  </HeadingPairs>
  <TitlesOfParts>
    <vt:vector size="55" baseType="lpstr">
      <vt:lpstr>Info</vt:lpstr>
      <vt:lpstr>Parameter</vt:lpstr>
      <vt:lpstr>Berechnung</vt:lpstr>
      <vt:lpstr>Solarertrag</vt:lpstr>
      <vt:lpstr>Vergütung</vt:lpstr>
      <vt:lpstr>Kapitalwert</vt:lpstr>
      <vt:lpstr>Anlagenleistung</vt:lpstr>
      <vt:lpstr>Anlagenpreis</vt:lpstr>
      <vt:lpstr>AnlagenpreisPV</vt:lpstr>
      <vt:lpstr>Auszahlung1</vt:lpstr>
      <vt:lpstr>BatteriespeicherJN</vt:lpstr>
      <vt:lpstr>BatterieVerluste</vt:lpstr>
      <vt:lpstr>Bereitstellung1</vt:lpstr>
      <vt:lpstr>Dachmiete</vt:lpstr>
      <vt:lpstr>Direktnutzung</vt:lpstr>
      <vt:lpstr>Direktnutzung_Batteriespeicher</vt:lpstr>
      <vt:lpstr>Direktnutzung_Speicher</vt:lpstr>
      <vt:lpstr>Direktvermarktung</vt:lpstr>
      <vt:lpstr>Berechnung!Druckbereich</vt:lpstr>
      <vt:lpstr>Parameter!Druckbereich</vt:lpstr>
      <vt:lpstr>EEG_Vergütung</vt:lpstr>
      <vt:lpstr>Eigennutzung</vt:lpstr>
      <vt:lpstr>Eigennutzung_brutto</vt:lpstr>
      <vt:lpstr>Eigennutzung_netto</vt:lpstr>
      <vt:lpstr>EigennutzungSpeicher</vt:lpstr>
      <vt:lpstr>Ersatzbatterie</vt:lpstr>
      <vt:lpstr>Ertragsminderung</vt:lpstr>
      <vt:lpstr>Gewerbe</vt:lpstr>
      <vt:lpstr>IBNJahr</vt:lpstr>
      <vt:lpstr>IBNMonat</vt:lpstr>
      <vt:lpstr>Inflationsrate</vt:lpstr>
      <vt:lpstr>Kapitalwert</vt:lpstr>
      <vt:lpstr>Kredit1</vt:lpstr>
      <vt:lpstr>kWp</vt:lpstr>
      <vt:lpstr>Ladeverluste</vt:lpstr>
      <vt:lpstr>Laufzeit1</vt:lpstr>
      <vt:lpstr>Leistung</vt:lpstr>
      <vt:lpstr>LfdKosten</vt:lpstr>
      <vt:lpstr>MwSt</vt:lpstr>
      <vt:lpstr>ProgVersion</vt:lpstr>
      <vt:lpstr>Solarertrag1</vt:lpstr>
      <vt:lpstr>Speicherdegradation</vt:lpstr>
      <vt:lpstr>Steuerbefreiung</vt:lpstr>
      <vt:lpstr>StromerlösDirektvermarktung</vt:lpstr>
      <vt:lpstr>Stromertrag</vt:lpstr>
      <vt:lpstr>StrompreisNetto</vt:lpstr>
      <vt:lpstr>Strompreissteigerung</vt:lpstr>
      <vt:lpstr>Tilgungsfrei1</vt:lpstr>
      <vt:lpstr>Volleinspeisung</vt:lpstr>
      <vt:lpstr>Vorlaufkosten</vt:lpstr>
      <vt:lpstr>Zinsbindung1</vt:lpstr>
      <vt:lpstr>Zinssatz1</vt:lpstr>
      <vt:lpstr>Zinssatz1NachZinsbindung</vt:lpstr>
      <vt:lpstr>ZinssatzBarwert</vt:lpstr>
      <vt:lpstr>ZusatzkostenBatterie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Alfred Körblein</dc:creator>
  <cp:lastModifiedBy>Hauke Doerk</cp:lastModifiedBy>
  <cp:lastPrinted>2016-05-25T14:37:50Z</cp:lastPrinted>
  <dcterms:created xsi:type="dcterms:W3CDTF">1999-10-30T15:36:17Z</dcterms:created>
  <dcterms:modified xsi:type="dcterms:W3CDTF">2026-07-22T10:41:01Z</dcterms:modified>
</cp:coreProperties>
</file>